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180" windowWidth="24120" windowHeight="11355" tabRatio="875" firstSheet="5" activeTab="18"/>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ummary - for ESC purposes" sheetId="37" state="hidden" r:id="rId16"/>
    <sheet name="Checks - for ESC purposes" sheetId="36" state="hidden" r:id="rId17"/>
    <sheet name="Analysis - For ESC purposes" sheetId="19" state="hidden" r:id="rId18"/>
    <sheet name="SRP and LTFP" sheetId="20" r:id="rId19"/>
    <sheet name="Higher cap(s) calculation" sheetId="35" r:id="rId20"/>
    <sheet name="Certification Statement" sheetId="3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6" hidden="1">'Assets - Base year'!$S$12:$S$66</definedName>
    <definedName name="_xlnm._FilterDatabase" localSheetId="10" hidden="1">'Assets - NHC'!$S$12:$S$136</definedName>
    <definedName name="_xlnm._FilterDatabase" localSheetId="14" hidden="1">'Assets - WHC'!$S$12:$S$36</definedName>
    <definedName name="_xlnm.Print_Area" localSheetId="0">' Instructions'!$A$1:$O$431</definedName>
    <definedName name="_xlnm.Print_Area" localSheetId="1">' Instructions (print friendly)'!$A$1:$O$572</definedName>
    <definedName name="_xlnm.Print_Area" localSheetId="17">'Analysis - For ESC purposes'!$O$2:$AI$39</definedName>
    <definedName name="_xlnm.Print_Area" localSheetId="6">'Assets - Base year'!$A$1:$V$195</definedName>
    <definedName name="_xlnm.Print_Area" localSheetId="10">'Assets - NHC'!$A$1:$V$190</definedName>
    <definedName name="_xlnm.Print_Area" localSheetId="14">'Assets - WHC'!$A$1:$V$205</definedName>
    <definedName name="_xlnm.Print_Area" localSheetId="5">'Expenditure - Base year'!$A$1:$T$154</definedName>
    <definedName name="_xlnm.Print_Area" localSheetId="13">'Expenditure - WHC'!$A$1:$T$154</definedName>
    <definedName name="_xlnm.Print_Area" localSheetId="9">'Expenditure- NHC'!$A$1:$T$154</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5">'Summary - for ESC purposes'!$A$1:$O$54</definedName>
    <definedName name="_xlnm.Print_Titles" localSheetId="18">'SRP and LTFP'!$1:$5</definedName>
    <definedName name="solver_adj" localSheetId="19" hidden="1">'Higher cap(s) calculation'!$I$18</definedName>
    <definedName name="solver_cvg" localSheetId="19" hidden="1">0.0001</definedName>
    <definedName name="solver_drv" localSheetId="19" hidden="1">2</definedName>
    <definedName name="solver_eng" localSheetId="19" hidden="1">1</definedName>
    <definedName name="solver_est" localSheetId="19" hidden="1">1</definedName>
    <definedName name="solver_itr" localSheetId="19" hidden="1">2147483647</definedName>
    <definedName name="solver_mip" localSheetId="19" hidden="1">2147483647</definedName>
    <definedName name="solver_mni" localSheetId="19" hidden="1">30</definedName>
    <definedName name="solver_mrt" localSheetId="19" hidden="1">0.075</definedName>
    <definedName name="solver_msl" localSheetId="19" hidden="1">2</definedName>
    <definedName name="solver_neg" localSheetId="19" hidden="1">1</definedName>
    <definedName name="solver_nod" localSheetId="19" hidden="1">2147483647</definedName>
    <definedName name="solver_num" localSheetId="19" hidden="1">0</definedName>
    <definedName name="solver_nwt" localSheetId="19" hidden="1">1</definedName>
    <definedName name="solver_opt" localSheetId="19" hidden="1">'Higher cap(s) calculation'!$I$62</definedName>
    <definedName name="solver_pre" localSheetId="19" hidden="1">0.000001</definedName>
    <definedName name="solver_rbv" localSheetId="19" hidden="1">2</definedName>
    <definedName name="solver_rlx" localSheetId="19" hidden="1">2</definedName>
    <definedName name="solver_rsd" localSheetId="19" hidden="1">0</definedName>
    <definedName name="solver_scl" localSheetId="19" hidden="1">2</definedName>
    <definedName name="solver_sho" localSheetId="19" hidden="1">2</definedName>
    <definedName name="solver_ssz" localSheetId="19" hidden="1">100</definedName>
    <definedName name="solver_tim" localSheetId="19" hidden="1">2147483647</definedName>
    <definedName name="solver_tol" localSheetId="19" hidden="1">0.01</definedName>
    <definedName name="solver_typ" localSheetId="19" hidden="1">3</definedName>
    <definedName name="solver_val" localSheetId="19" hidden="1">0.04405011065</definedName>
    <definedName name="solver_ver" localSheetId="19" hidden="1">3</definedName>
  </definedNames>
  <calcPr calcId="145621"/>
</workbook>
</file>

<file path=xl/calcChain.xml><?xml version="1.0" encoding="utf-8"?>
<calcChain xmlns="http://schemas.openxmlformats.org/spreadsheetml/2006/main">
  <c r="F108" i="20" l="1"/>
  <c r="F110" i="20" s="1"/>
  <c r="G62" i="35" l="1"/>
  <c r="H62" i="35"/>
  <c r="I62" i="35"/>
  <c r="I45" i="35"/>
  <c r="H45" i="35"/>
  <c r="G45" i="35"/>
  <c r="F25" i="35"/>
  <c r="F18" i="35"/>
  <c r="F24" i="35"/>
  <c r="F21" i="35"/>
  <c r="E18" i="35" l="1"/>
  <c r="E24" i="35"/>
  <c r="E22" i="35"/>
  <c r="E26" i="35"/>
  <c r="G21" i="35"/>
  <c r="H21" i="35"/>
  <c r="I21" i="35"/>
  <c r="F22" i="35"/>
  <c r="G22" i="35"/>
  <c r="H22" i="35"/>
  <c r="I22" i="35"/>
  <c r="F23" i="35"/>
  <c r="G23" i="35"/>
  <c r="H23" i="35"/>
  <c r="I23" i="35"/>
  <c r="F26" i="35"/>
  <c r="G26" i="35"/>
  <c r="H26" i="35"/>
  <c r="I26" i="35"/>
  <c r="C207" i="20"/>
  <c r="C294" i="20"/>
  <c r="D294" i="20"/>
  <c r="C295" i="20"/>
  <c r="D295" i="20"/>
  <c r="C206" i="20"/>
  <c r="D206" i="20"/>
  <c r="D194" i="20"/>
  <c r="C194" i="20"/>
  <c r="C179" i="20"/>
  <c r="D179" i="20"/>
  <c r="C180" i="20"/>
  <c r="D180" i="20"/>
  <c r="C165" i="20"/>
  <c r="D165" i="20"/>
  <c r="C102" i="20"/>
  <c r="D27" i="9"/>
  <c r="S187" i="9"/>
  <c r="Q187" i="9"/>
  <c r="N187" i="9"/>
  <c r="S186" i="9"/>
  <c r="R185" i="9"/>
  <c r="S184" i="9"/>
  <c r="S183" i="9"/>
  <c r="R183" i="9"/>
  <c r="S182" i="9"/>
  <c r="S181" i="9"/>
  <c r="S180" i="9"/>
  <c r="R179" i="9"/>
  <c r="S178" i="9"/>
  <c r="R176" i="9"/>
  <c r="S175" i="9"/>
  <c r="S174" i="9"/>
  <c r="S173" i="9"/>
  <c r="O173" i="9"/>
  <c r="R173" i="9" s="1"/>
  <c r="R172" i="9"/>
  <c r="R170" i="9"/>
  <c r="R169" i="9"/>
  <c r="R168" i="9"/>
  <c r="S167" i="9"/>
  <c r="R165" i="9"/>
  <c r="H165" i="9" s="1"/>
  <c r="D17" i="9"/>
  <c r="D22" i="9" s="1"/>
  <c r="Q152" i="9"/>
  <c r="O152" i="9"/>
  <c r="N152" i="9"/>
  <c r="R152" i="9" s="1"/>
  <c r="T152" i="9" s="1"/>
  <c r="T156" i="9" s="1"/>
  <c r="E152" i="9"/>
  <c r="E147" i="9"/>
  <c r="T142" i="9"/>
  <c r="T146" i="9" s="1"/>
  <c r="T138" i="9"/>
  <c r="T137" i="9"/>
  <c r="T141" i="9" s="1"/>
  <c r="O137" i="9"/>
  <c r="R137" i="9" s="1"/>
  <c r="T133" i="9"/>
  <c r="T132" i="9"/>
  <c r="O132" i="9"/>
  <c r="R132" i="9" s="1"/>
  <c r="T128" i="9"/>
  <c r="T127" i="9"/>
  <c r="O127" i="9"/>
  <c r="R127" i="9" s="1"/>
  <c r="T122" i="9"/>
  <c r="T126" i="9" s="1"/>
  <c r="T117" i="9"/>
  <c r="T121" i="9" s="1"/>
  <c r="T112" i="9"/>
  <c r="T116" i="9" s="1"/>
  <c r="T108" i="9"/>
  <c r="T107" i="9"/>
  <c r="T102" i="9"/>
  <c r="T106" i="9" s="1"/>
  <c r="T98" i="9"/>
  <c r="T97" i="9"/>
  <c r="O97" i="9"/>
  <c r="R97" i="9" s="1"/>
  <c r="T92" i="9"/>
  <c r="T96" i="9" s="1"/>
  <c r="E92" i="9"/>
  <c r="T87" i="9"/>
  <c r="T91" i="9" s="1"/>
  <c r="E87" i="9"/>
  <c r="T82" i="9"/>
  <c r="T86" i="9" s="1"/>
  <c r="E82" i="9"/>
  <c r="T77" i="9"/>
  <c r="T81" i="9" s="1"/>
  <c r="E77" i="9"/>
  <c r="T73" i="9"/>
  <c r="T72" i="9"/>
  <c r="E72" i="9"/>
  <c r="T67" i="9"/>
  <c r="T71" i="9" s="1"/>
  <c r="E67" i="9"/>
  <c r="T63" i="9"/>
  <c r="T62" i="9"/>
  <c r="E62" i="9"/>
  <c r="T59" i="9"/>
  <c r="T58" i="9"/>
  <c r="T57" i="9"/>
  <c r="T61" i="9" s="1"/>
  <c r="E57" i="9"/>
  <c r="T52" i="9"/>
  <c r="T56" i="9" s="1"/>
  <c r="E52" i="9"/>
  <c r="T47" i="9"/>
  <c r="T51" i="9" s="1"/>
  <c r="E47" i="9"/>
  <c r="T43" i="9"/>
  <c r="T46" i="9"/>
  <c r="E42" i="9"/>
  <c r="T37" i="9"/>
  <c r="T41" i="9" s="1"/>
  <c r="E37" i="9"/>
  <c r="T32" i="9"/>
  <c r="T36" i="9" s="1"/>
  <c r="E32" i="9"/>
  <c r="T27" i="9"/>
  <c r="T31" i="9" s="1"/>
  <c r="E27" i="9"/>
  <c r="T22" i="9"/>
  <c r="T26" i="9" s="1"/>
  <c r="E22" i="9"/>
  <c r="T18" i="9"/>
  <c r="T17" i="9"/>
  <c r="T21" i="9" s="1"/>
  <c r="E17" i="9"/>
  <c r="T12" i="9"/>
  <c r="T16" i="9" s="1"/>
  <c r="E12" i="9"/>
  <c r="Q147" i="9"/>
  <c r="Q178" i="9"/>
  <c r="Q82" i="9"/>
  <c r="N72" i="9"/>
  <c r="N17" i="9"/>
  <c r="N182" i="9"/>
  <c r="O178" i="9"/>
  <c r="I34" i="8"/>
  <c r="N57" i="9"/>
  <c r="Q180" i="9"/>
  <c r="O142" i="9"/>
  <c r="O122" i="9"/>
  <c r="O184" i="9"/>
  <c r="Q92" i="9"/>
  <c r="O67" i="9"/>
  <c r="Q37" i="9"/>
  <c r="O174" i="9"/>
  <c r="N62" i="9"/>
  <c r="N184" i="9"/>
  <c r="O181" i="9"/>
  <c r="O87" i="9"/>
  <c r="O32" i="9"/>
  <c r="O17" i="9"/>
  <c r="N77" i="9"/>
  <c r="O182" i="9"/>
  <c r="Q47" i="9"/>
  <c r="N186" i="9"/>
  <c r="O175" i="9"/>
  <c r="Q67" i="9"/>
  <c r="O102" i="9"/>
  <c r="O112" i="9"/>
  <c r="Q181" i="9"/>
  <c r="Q167" i="9"/>
  <c r="Q166" i="9"/>
  <c r="N27" i="9"/>
  <c r="Q182" i="9"/>
  <c r="Q184" i="9"/>
  <c r="Q52" i="9"/>
  <c r="Q186" i="9"/>
  <c r="Q22" i="9"/>
  <c r="Q32" i="9"/>
  <c r="O107" i="9"/>
  <c r="N147" i="9"/>
  <c r="H11" i="8"/>
  <c r="Q17" i="9"/>
  <c r="O167" i="9"/>
  <c r="Q12" i="9"/>
  <c r="N67" i="9"/>
  <c r="O180" i="9"/>
  <c r="O117" i="9"/>
  <c r="O12" i="9"/>
  <c r="H183" i="9" l="1"/>
  <c r="T131" i="9"/>
  <c r="H173" i="9"/>
  <c r="D32" i="9"/>
  <c r="D37" i="9" s="1"/>
  <c r="D42" i="9" s="1"/>
  <c r="T136" i="9"/>
  <c r="T66" i="9"/>
  <c r="T101" i="9"/>
  <c r="T76" i="9"/>
  <c r="R175" i="9"/>
  <c r="H175" i="9" s="1"/>
  <c r="R180" i="9"/>
  <c r="H180" i="9" s="1"/>
  <c r="R181" i="9"/>
  <c r="H181" i="9" s="1"/>
  <c r="R166" i="9"/>
  <c r="H166" i="9" s="1"/>
  <c r="R184" i="9"/>
  <c r="H184" i="9" s="1"/>
  <c r="R186" i="9"/>
  <c r="H186" i="9" s="1"/>
  <c r="R174" i="9"/>
  <c r="H174" i="9" s="1"/>
  <c r="R182" i="9"/>
  <c r="H182" i="9" s="1"/>
  <c r="T111" i="9"/>
  <c r="R117" i="9"/>
  <c r="R32" i="9"/>
  <c r="R37" i="9"/>
  <c r="R102" i="9"/>
  <c r="R82" i="9"/>
  <c r="R67" i="9"/>
  <c r="R47" i="9"/>
  <c r="R22" i="9"/>
  <c r="R142" i="9"/>
  <c r="R122" i="9"/>
  <c r="R52" i="9"/>
  <c r="R87" i="9"/>
  <c r="R147" i="9"/>
  <c r="T147" i="9" s="1"/>
  <c r="T151" i="9" s="1"/>
  <c r="R12" i="9"/>
  <c r="R107" i="9"/>
  <c r="R57" i="9"/>
  <c r="R72" i="9"/>
  <c r="R92" i="9"/>
  <c r="R27" i="9"/>
  <c r="R17" i="9"/>
  <c r="R112" i="9"/>
  <c r="R77" i="9"/>
  <c r="R62" i="9"/>
  <c r="D47" i="9" l="1"/>
  <c r="D52" i="9" s="1"/>
  <c r="D57" i="9" s="1"/>
  <c r="D62" i="9" s="1"/>
  <c r="D67" i="9" s="1"/>
  <c r="D72" i="9" s="1"/>
  <c r="D77" i="9" s="1"/>
  <c r="D82" i="9" s="1"/>
  <c r="D87" i="9" s="1"/>
  <c r="D92" i="9" s="1"/>
  <c r="D97" i="9" l="1"/>
  <c r="D102" i="9" s="1"/>
  <c r="D107" i="9" s="1"/>
  <c r="D112" i="9" s="1"/>
  <c r="D117" i="9" s="1"/>
  <c r="D122" i="9" s="1"/>
  <c r="D127" i="9" s="1"/>
  <c r="D132" i="9" s="1"/>
  <c r="D137" i="9" s="1"/>
  <c r="D142" i="9" s="1"/>
  <c r="D147" i="9" s="1"/>
  <c r="D152" i="9" s="1"/>
  <c r="H17" i="13" l="1"/>
  <c r="H54" i="20" l="1"/>
  <c r="H46" i="20"/>
  <c r="H32" i="20"/>
  <c r="H29" i="20"/>
  <c r="H26" i="20"/>
  <c r="H40" i="20" s="1"/>
  <c r="H23" i="20"/>
  <c r="H20" i="20"/>
  <c r="H13" i="20"/>
  <c r="O178" i="27" l="1"/>
  <c r="D116" i="20"/>
  <c r="S172" i="27"/>
  <c r="S178" i="27"/>
  <c r="S179" i="27"/>
  <c r="S180" i="27"/>
  <c r="S189" i="27"/>
  <c r="S187" i="27"/>
  <c r="S183" i="27"/>
  <c r="S191" i="27"/>
  <c r="S185" i="27"/>
  <c r="S186" i="27"/>
  <c r="S192" i="27"/>
  <c r="S188" i="27"/>
  <c r="Q192" i="27"/>
  <c r="D123" i="20"/>
  <c r="Q189" i="27"/>
  <c r="N172" i="27"/>
  <c r="N192" i="27"/>
  <c r="Q185" i="27"/>
  <c r="O185" i="27"/>
  <c r="Q171" i="27"/>
  <c r="N189" i="27"/>
  <c r="D122" i="20"/>
  <c r="D119" i="20"/>
  <c r="O191" i="27"/>
  <c r="O180" i="27"/>
  <c r="O187" i="27"/>
  <c r="N178" i="27"/>
  <c r="O186" i="27"/>
  <c r="O179" i="27"/>
  <c r="N180" i="27"/>
  <c r="O172" i="27"/>
  <c r="Q172" i="27"/>
  <c r="Q191" i="27"/>
  <c r="O192" i="27"/>
  <c r="O189" i="27"/>
  <c r="O183" i="27"/>
  <c r="Q183" i="27"/>
  <c r="N187" i="27"/>
  <c r="N183" i="27"/>
  <c r="Q187" i="27"/>
  <c r="T153" i="27" l="1"/>
  <c r="H180" i="18" l="1"/>
  <c r="H192" i="27"/>
  <c r="H191" i="27"/>
  <c r="H189" i="27"/>
  <c r="H188" i="27"/>
  <c r="H187" i="27"/>
  <c r="H186" i="27"/>
  <c r="H185" i="27"/>
  <c r="H183" i="27"/>
  <c r="H180" i="27"/>
  <c r="H179" i="27"/>
  <c r="H178" i="27"/>
  <c r="H172" i="27"/>
  <c r="H171" i="27"/>
  <c r="H170" i="27"/>
  <c r="S182" i="18" l="1"/>
  <c r="S188" i="18"/>
  <c r="S189" i="18"/>
  <c r="S190" i="18"/>
  <c r="S199" i="18"/>
  <c r="S197" i="18"/>
  <c r="S193" i="18"/>
  <c r="S201" i="18"/>
  <c r="S195" i="18"/>
  <c r="S196" i="18"/>
  <c r="S202" i="18"/>
  <c r="S198" i="18"/>
  <c r="H198" i="18" s="1"/>
  <c r="O188" i="18"/>
  <c r="N202" i="18"/>
  <c r="Q202" i="18"/>
  <c r="O190" i="18"/>
  <c r="N199" i="18"/>
  <c r="O182" i="18"/>
  <c r="O193" i="18"/>
  <c r="Q181" i="18"/>
  <c r="O189" i="18"/>
  <c r="O195" i="18"/>
  <c r="Q201" i="18"/>
  <c r="O197" i="18"/>
  <c r="N197" i="18"/>
  <c r="N201" i="18"/>
  <c r="O196" i="18"/>
  <c r="N193" i="18"/>
  <c r="Q196" i="18"/>
  <c r="O199" i="18"/>
  <c r="Q199" i="18"/>
  <c r="Q195" i="18"/>
  <c r="Q182" i="18"/>
  <c r="N182" i="18"/>
  <c r="Q193" i="18"/>
  <c r="Q197" i="18"/>
  <c r="O202" i="18"/>
  <c r="T147" i="18" l="1"/>
  <c r="T143" i="18"/>
  <c r="T62" i="18"/>
  <c r="T113" i="18"/>
  <c r="T92" i="18"/>
  <c r="T57" i="18"/>
  <c r="T42" i="18"/>
  <c r="T47" i="18"/>
  <c r="T52" i="18"/>
  <c r="T53" i="18"/>
  <c r="T69" i="18"/>
  <c r="T68" i="18"/>
  <c r="T67" i="18"/>
  <c r="T72" i="18"/>
  <c r="T73" i="18"/>
  <c r="T87" i="18"/>
  <c r="T148" i="18"/>
  <c r="T18" i="18"/>
  <c r="T17" i="18"/>
  <c r="T153" i="18"/>
  <c r="T123" i="18"/>
  <c r="T37" i="18"/>
  <c r="T32" i="18"/>
  <c r="T83" i="18"/>
  <c r="T82" i="18"/>
  <c r="T77" i="18"/>
  <c r="T152" i="18"/>
  <c r="T122" i="18"/>
  <c r="T132" i="18"/>
  <c r="T12" i="18"/>
  <c r="T97" i="18"/>
  <c r="T107" i="18"/>
  <c r="T157" i="18"/>
  <c r="T142" i="18"/>
  <c r="T137" i="18"/>
  <c r="T127" i="18"/>
  <c r="T117" i="18"/>
  <c r="T102" i="18"/>
  <c r="T28" i="18"/>
  <c r="T27" i="18"/>
  <c r="T22" i="18"/>
  <c r="T112" i="18"/>
  <c r="D112" i="27" l="1"/>
  <c r="O137" i="27" l="1"/>
  <c r="E107" i="27"/>
  <c r="E102" i="27"/>
  <c r="O152" i="27"/>
  <c r="E97" i="27"/>
  <c r="O142" i="27"/>
  <c r="E92" i="27"/>
  <c r="O147" i="27"/>
  <c r="T147" i="27" s="1"/>
  <c r="E87" i="27"/>
  <c r="E82" i="27"/>
  <c r="E77" i="27"/>
  <c r="E72" i="27"/>
  <c r="E67" i="27"/>
  <c r="E62" i="27"/>
  <c r="E57" i="27"/>
  <c r="E52" i="27"/>
  <c r="E47" i="27"/>
  <c r="E42" i="27"/>
  <c r="E37" i="27"/>
  <c r="E32" i="27"/>
  <c r="E27" i="27"/>
  <c r="O112" i="27"/>
  <c r="E22" i="27"/>
  <c r="N157" i="27"/>
  <c r="Q157" i="27"/>
  <c r="O157" i="27"/>
  <c r="E17" i="27"/>
  <c r="E12" i="27"/>
  <c r="E157" i="27"/>
  <c r="R152" i="27"/>
  <c r="T152" i="27" s="1"/>
  <c r="T156" i="27" s="1"/>
  <c r="D17" i="27"/>
  <c r="D22" i="27" s="1"/>
  <c r="D27" i="27" s="1"/>
  <c r="D32" i="27" s="1"/>
  <c r="D37" i="27" s="1"/>
  <c r="D42" i="27" s="1"/>
  <c r="D47" i="27" s="1"/>
  <c r="D52" i="27" s="1"/>
  <c r="D57" i="27" s="1"/>
  <c r="D62" i="27" s="1"/>
  <c r="D67" i="27" s="1"/>
  <c r="D72" i="27" s="1"/>
  <c r="D77" i="27" s="1"/>
  <c r="D82" i="27" s="1"/>
  <c r="D87" i="27" s="1"/>
  <c r="D92" i="27" s="1"/>
  <c r="D97" i="27" s="1"/>
  <c r="D102" i="27" s="1"/>
  <c r="D107" i="27" s="1"/>
  <c r="D117" i="27" s="1"/>
  <c r="D122" i="27" s="1"/>
  <c r="D127" i="27" s="1"/>
  <c r="D132" i="27" s="1"/>
  <c r="D137" i="27" s="1"/>
  <c r="D142" i="27" s="1"/>
  <c r="D147" i="27" s="1"/>
  <c r="D152" i="27" s="1"/>
  <c r="D157" i="27" s="1"/>
  <c r="T121" i="27"/>
  <c r="T126" i="27"/>
  <c r="R137" i="27"/>
  <c r="T137" i="27" s="1"/>
  <c r="T141" i="27" s="1"/>
  <c r="R142" i="27"/>
  <c r="T142" i="27" s="1"/>
  <c r="T146" i="27" s="1"/>
  <c r="Q12" i="27"/>
  <c r="Q42" i="27"/>
  <c r="N87" i="27"/>
  <c r="Q62" i="27"/>
  <c r="Q37" i="27"/>
  <c r="O17" i="27"/>
  <c r="O122" i="27"/>
  <c r="N82" i="27"/>
  <c r="O22" i="27"/>
  <c r="Q52" i="27"/>
  <c r="Q47" i="27"/>
  <c r="N107" i="27"/>
  <c r="N17" i="27"/>
  <c r="N32" i="27"/>
  <c r="O132" i="27"/>
  <c r="O52" i="27"/>
  <c r="N72" i="27"/>
  <c r="N97" i="27"/>
  <c r="N27" i="27"/>
  <c r="O127" i="27"/>
  <c r="O117" i="27"/>
  <c r="N77" i="27"/>
  <c r="O57" i="27"/>
  <c r="O37" i="27"/>
  <c r="Q102" i="27"/>
  <c r="N92" i="27"/>
  <c r="Q22" i="27"/>
  <c r="N67" i="27"/>
  <c r="Q17" i="27"/>
  <c r="O12" i="27"/>
  <c r="T42" i="27" l="1"/>
  <c r="T46" i="27" s="1"/>
  <c r="R107" i="27"/>
  <c r="T107" i="27" s="1"/>
  <c r="T111" i="27" s="1"/>
  <c r="R102" i="27"/>
  <c r="T102" i="27" s="1"/>
  <c r="T106" i="27" s="1"/>
  <c r="R92" i="27"/>
  <c r="T92" i="27" s="1"/>
  <c r="T96" i="27" s="1"/>
  <c r="R87" i="27"/>
  <c r="T87" i="27" s="1"/>
  <c r="T91" i="27" s="1"/>
  <c r="R82" i="27"/>
  <c r="T82" i="27" s="1"/>
  <c r="T86" i="27" s="1"/>
  <c r="R77" i="27"/>
  <c r="T77" i="27" s="1"/>
  <c r="T81" i="27" s="1"/>
  <c r="R72" i="27"/>
  <c r="T72" i="27" s="1"/>
  <c r="T76" i="27" s="1"/>
  <c r="R47" i="27"/>
  <c r="T47" i="27" s="1"/>
  <c r="T51" i="27" s="1"/>
  <c r="R42" i="27"/>
  <c r="R132" i="27"/>
  <c r="T132" i="27" s="1"/>
  <c r="T136" i="27" s="1"/>
  <c r="R37" i="27"/>
  <c r="T37" i="27" s="1"/>
  <c r="T41" i="27" s="1"/>
  <c r="R127" i="27"/>
  <c r="T127" i="27" s="1"/>
  <c r="T131" i="27" s="1"/>
  <c r="R122" i="27"/>
  <c r="R32" i="27"/>
  <c r="T32" i="27" s="1"/>
  <c r="T36" i="27" s="1"/>
  <c r="R117" i="27"/>
  <c r="R27" i="27"/>
  <c r="T27" i="27" s="1"/>
  <c r="T31" i="27" s="1"/>
  <c r="R22" i="27"/>
  <c r="T22" i="27" s="1"/>
  <c r="T26" i="27" s="1"/>
  <c r="N162" i="18"/>
  <c r="Q162" i="18"/>
  <c r="D157" i="18" l="1"/>
  <c r="D152" i="18"/>
  <c r="D147" i="18"/>
  <c r="D142" i="18"/>
  <c r="D137" i="18"/>
  <c r="D132" i="18"/>
  <c r="D127" i="18"/>
  <c r="D122" i="18"/>
  <c r="D117" i="18"/>
  <c r="D112" i="18"/>
  <c r="O152" i="18"/>
  <c r="R152" i="18" s="1"/>
  <c r="T156" i="18" s="1"/>
  <c r="O147" i="18"/>
  <c r="O142" i="18"/>
  <c r="O112" i="18"/>
  <c r="R112" i="18" s="1"/>
  <c r="T116" i="18" s="1"/>
  <c r="E107" i="18"/>
  <c r="E102" i="18"/>
  <c r="E97" i="18"/>
  <c r="E92" i="18"/>
  <c r="E87" i="18"/>
  <c r="E82" i="18"/>
  <c r="E77" i="18"/>
  <c r="E162" i="18"/>
  <c r="N167" i="18"/>
  <c r="Q167" i="18"/>
  <c r="O167" i="18"/>
  <c r="E167" i="18"/>
  <c r="T86" i="18"/>
  <c r="T81" i="18"/>
  <c r="T106" i="18"/>
  <c r="T101" i="18"/>
  <c r="T96" i="18"/>
  <c r="T91" i="18"/>
  <c r="T111" i="18"/>
  <c r="E72" i="18"/>
  <c r="E67" i="18"/>
  <c r="E62" i="18"/>
  <c r="E57" i="18"/>
  <c r="T61" i="18"/>
  <c r="T66" i="18"/>
  <c r="T71" i="18"/>
  <c r="T76" i="18"/>
  <c r="E52" i="18"/>
  <c r="E47" i="18"/>
  <c r="E42" i="18"/>
  <c r="E37" i="18"/>
  <c r="E32" i="18"/>
  <c r="E27" i="18"/>
  <c r="E22" i="18"/>
  <c r="E17" i="18"/>
  <c r="E12" i="18"/>
  <c r="G108" i="20"/>
  <c r="G107" i="20"/>
  <c r="F107" i="20"/>
  <c r="G106" i="20"/>
  <c r="F106" i="20"/>
  <c r="E108" i="20"/>
  <c r="E107" i="20"/>
  <c r="E106" i="20"/>
  <c r="O77" i="18"/>
  <c r="N32" i="18"/>
  <c r="O37" i="18"/>
  <c r="O97" i="18"/>
  <c r="O127" i="18"/>
  <c r="Q77" i="18"/>
  <c r="Q12" i="18"/>
  <c r="O17" i="18"/>
  <c r="Q57" i="18"/>
  <c r="N107" i="18"/>
  <c r="Q17" i="18"/>
  <c r="N77" i="18"/>
  <c r="Q37" i="18"/>
  <c r="Q62" i="18"/>
  <c r="Q102" i="18"/>
  <c r="O122" i="18"/>
  <c r="O12" i="18"/>
  <c r="O157" i="18"/>
  <c r="N27" i="18"/>
  <c r="N82" i="18"/>
  <c r="N67" i="18"/>
  <c r="N17" i="18"/>
  <c r="N72" i="18"/>
  <c r="O117" i="18"/>
  <c r="O132" i="18"/>
  <c r="O137" i="18"/>
  <c r="Q22" i="18"/>
  <c r="O47" i="18"/>
  <c r="N87" i="18"/>
  <c r="Q92" i="18"/>
  <c r="Q42" i="18"/>
  <c r="O52" i="18"/>
  <c r="R147" i="18" l="1"/>
  <c r="T151" i="18" s="1"/>
  <c r="R142" i="18"/>
  <c r="T146" i="18" s="1"/>
  <c r="R137" i="18"/>
  <c r="T141" i="18" s="1"/>
  <c r="R157" i="18"/>
  <c r="T161" i="18" s="1"/>
  <c r="R132" i="18"/>
  <c r="T136" i="18" s="1"/>
  <c r="R127" i="18"/>
  <c r="T131" i="18" s="1"/>
  <c r="R122" i="18"/>
  <c r="T126" i="18" s="1"/>
  <c r="R117" i="18"/>
  <c r="T121" i="18" s="1"/>
  <c r="R107" i="18"/>
  <c r="R102" i="18"/>
  <c r="R97" i="18"/>
  <c r="R92" i="18"/>
  <c r="R87" i="18"/>
  <c r="R82" i="18"/>
  <c r="R77" i="18"/>
  <c r="R162" i="18"/>
  <c r="R72" i="18"/>
  <c r="R67" i="18"/>
  <c r="R62" i="18"/>
  <c r="R57" i="18"/>
  <c r="G102" i="20"/>
  <c r="F102" i="20"/>
  <c r="D102" i="20"/>
  <c r="E102" i="20"/>
  <c r="C100" i="20"/>
  <c r="C205" i="20" s="1"/>
  <c r="D98" i="20"/>
  <c r="D203" i="20" s="1"/>
  <c r="E98" i="20"/>
  <c r="F98" i="20"/>
  <c r="G98" i="20"/>
  <c r="C98" i="20"/>
  <c r="C203" i="20" s="1"/>
  <c r="D71" i="20"/>
  <c r="D176" i="20" s="1"/>
  <c r="E71" i="20"/>
  <c r="F71" i="20"/>
  <c r="G71" i="20"/>
  <c r="D72" i="20"/>
  <c r="D177" i="20" s="1"/>
  <c r="E72" i="20"/>
  <c r="F72" i="20"/>
  <c r="G72" i="20"/>
  <c r="D73" i="20"/>
  <c r="D178" i="20" s="1"/>
  <c r="E73" i="20"/>
  <c r="F73" i="20"/>
  <c r="G73" i="20"/>
  <c r="C72" i="20"/>
  <c r="C177" i="20" s="1"/>
  <c r="C73" i="20"/>
  <c r="C178" i="20" s="1"/>
  <c r="C71" i="20"/>
  <c r="C176" i="20" s="1"/>
  <c r="D63" i="20"/>
  <c r="C63" i="20"/>
  <c r="C168" i="20" s="1"/>
  <c r="D62" i="20"/>
  <c r="D167" i="20" s="1"/>
  <c r="C62" i="20"/>
  <c r="C167" i="20" s="1"/>
  <c r="D61" i="20"/>
  <c r="D166" i="20" s="1"/>
  <c r="C61" i="20"/>
  <c r="C166" i="20" s="1"/>
  <c r="D64" i="20"/>
  <c r="D169" i="20" s="1"/>
  <c r="E64" i="20"/>
  <c r="F64" i="20"/>
  <c r="G64" i="20"/>
  <c r="D65" i="20"/>
  <c r="D170" i="20" s="1"/>
  <c r="E65" i="20"/>
  <c r="F65" i="20"/>
  <c r="G65" i="20"/>
  <c r="D66" i="20"/>
  <c r="D171" i="20" s="1"/>
  <c r="E66" i="20"/>
  <c r="F66" i="20"/>
  <c r="G66" i="20"/>
  <c r="D67" i="20"/>
  <c r="D172" i="20" s="1"/>
  <c r="E67" i="20"/>
  <c r="F67" i="20"/>
  <c r="G67" i="20"/>
  <c r="C67" i="20"/>
  <c r="C172" i="20" s="1"/>
  <c r="C66" i="20"/>
  <c r="C171" i="20" s="1"/>
  <c r="C65" i="20"/>
  <c r="C170" i="20" s="1"/>
  <c r="C64" i="20"/>
  <c r="C169" i="20" s="1"/>
  <c r="D90" i="20"/>
  <c r="D195" i="20" s="1"/>
  <c r="E90" i="20"/>
  <c r="F90" i="20"/>
  <c r="G90" i="20"/>
  <c r="D91" i="20"/>
  <c r="D196" i="20" s="1"/>
  <c r="E91" i="20"/>
  <c r="F91" i="20"/>
  <c r="G91" i="20"/>
  <c r="C91" i="20"/>
  <c r="C196" i="20" s="1"/>
  <c r="C90" i="20"/>
  <c r="C195" i="20" s="1"/>
  <c r="D81" i="20"/>
  <c r="D186" i="20" s="1"/>
  <c r="E81" i="20"/>
  <c r="F81" i="20"/>
  <c r="G81" i="20"/>
  <c r="D82" i="20"/>
  <c r="D187" i="20" s="1"/>
  <c r="E82" i="20"/>
  <c r="F82" i="20"/>
  <c r="G82" i="20"/>
  <c r="D83" i="20"/>
  <c r="D188" i="20" s="1"/>
  <c r="E83" i="20"/>
  <c r="F83" i="20"/>
  <c r="G83" i="20"/>
  <c r="D84" i="20"/>
  <c r="D189" i="20" s="1"/>
  <c r="E84" i="20"/>
  <c r="F84" i="20"/>
  <c r="G84" i="20"/>
  <c r="D85" i="20"/>
  <c r="D190" i="20" s="1"/>
  <c r="E85" i="20"/>
  <c r="F85" i="20"/>
  <c r="G85" i="20"/>
  <c r="C82" i="20"/>
  <c r="C187" i="20" s="1"/>
  <c r="C83" i="20"/>
  <c r="C188" i="20" s="1"/>
  <c r="C84" i="20"/>
  <c r="C189" i="20" s="1"/>
  <c r="C85" i="20"/>
  <c r="C190" i="20" s="1"/>
  <c r="C81" i="20"/>
  <c r="C186" i="20" s="1"/>
  <c r="C191" i="20" s="1"/>
  <c r="D191" i="20" l="1"/>
  <c r="T162" i="18"/>
  <c r="T166" i="18" s="1"/>
  <c r="C59" i="20"/>
  <c r="D100" i="20"/>
  <c r="D59" i="20"/>
  <c r="E59" i="20"/>
  <c r="E63" i="20" s="1"/>
  <c r="E58" i="20" s="1"/>
  <c r="F59" i="20"/>
  <c r="F63" i="20" s="1"/>
  <c r="F58" i="20" s="1"/>
  <c r="G59" i="20"/>
  <c r="G63" i="20" s="1"/>
  <c r="G58" i="20" s="1"/>
  <c r="D58" i="20" l="1"/>
  <c r="D164" i="20"/>
  <c r="E100" i="20"/>
  <c r="F100" i="20" s="1"/>
  <c r="G100" i="20" s="1"/>
  <c r="D205" i="20"/>
  <c r="C58" i="20"/>
  <c r="C164" i="20"/>
  <c r="C173" i="20" s="1"/>
  <c r="G14" i="20"/>
  <c r="F14" i="20"/>
  <c r="E14" i="20"/>
  <c r="D18" i="20"/>
  <c r="F27" i="20"/>
  <c r="F18" i="20"/>
  <c r="F11" i="20"/>
  <c r="F17" i="20"/>
  <c r="C17" i="20"/>
  <c r="F33" i="20"/>
  <c r="E11" i="20"/>
  <c r="E34" i="20"/>
  <c r="E17" i="20"/>
  <c r="E27" i="20"/>
  <c r="D17" i="20"/>
  <c r="D11" i="20"/>
  <c r="G34" i="20"/>
  <c r="E33" i="20"/>
  <c r="C11" i="20"/>
  <c r="G17" i="20"/>
  <c r="C18" i="20"/>
  <c r="F34" i="20"/>
  <c r="G33" i="20"/>
  <c r="G18" i="20"/>
  <c r="E18" i="20"/>
  <c r="G11" i="20"/>
  <c r="G27" i="20"/>
  <c r="I25" i="35" l="1"/>
  <c r="H18" i="35"/>
  <c r="G24" i="35"/>
  <c r="H25" i="35"/>
  <c r="G18" i="35"/>
  <c r="G25" i="35"/>
  <c r="I18" i="35"/>
  <c r="H24" i="35"/>
  <c r="I24" i="35"/>
  <c r="D14" i="20"/>
  <c r="C14" i="20"/>
  <c r="K24" i="16" l="1"/>
  <c r="K24" i="1"/>
  <c r="K24" i="25"/>
  <c r="K29" i="25"/>
  <c r="G30" i="20"/>
  <c r="L39" i="16"/>
  <c r="J24" i="16"/>
  <c r="M39" i="16"/>
  <c r="J24" i="1"/>
  <c r="J29" i="25"/>
  <c r="J24" i="25"/>
  <c r="G31" i="20"/>
  <c r="L39" i="1" l="1"/>
  <c r="J37" i="1"/>
  <c r="J12" i="25"/>
  <c r="J19" i="16"/>
  <c r="J26" i="16"/>
  <c r="J18" i="16"/>
  <c r="J37" i="25"/>
  <c r="J13" i="1"/>
  <c r="J35" i="16"/>
  <c r="F31" i="20"/>
  <c r="M39" i="1"/>
  <c r="J35" i="1"/>
  <c r="J15" i="25"/>
  <c r="J12" i="1"/>
  <c r="J18" i="1"/>
  <c r="E31" i="20"/>
  <c r="O39" i="16"/>
  <c r="J26" i="1"/>
  <c r="J13" i="25"/>
  <c r="J19" i="1"/>
  <c r="J35" i="25"/>
  <c r="J15" i="1"/>
  <c r="M39" i="25"/>
  <c r="J26" i="25"/>
  <c r="J18" i="25"/>
  <c r="J19" i="25"/>
  <c r="J37" i="16"/>
  <c r="J13" i="16"/>
  <c r="J12" i="16"/>
  <c r="J15" i="16"/>
  <c r="H37" i="15" l="1"/>
  <c r="H37" i="13"/>
  <c r="H37" i="23"/>
  <c r="N29" i="1"/>
  <c r="N29" i="16"/>
  <c r="H23" i="26" l="1"/>
  <c r="H23" i="17"/>
  <c r="F47" i="20"/>
  <c r="I17" i="17"/>
  <c r="E47" i="20"/>
  <c r="I27" i="17"/>
  <c r="G53" i="20"/>
  <c r="I18" i="8"/>
  <c r="I11" i="8"/>
  <c r="H12" i="17"/>
  <c r="E44" i="20"/>
  <c r="I32" i="26"/>
  <c r="I21" i="17"/>
  <c r="I36" i="17"/>
  <c r="I21" i="26"/>
  <c r="H26" i="17"/>
  <c r="I30" i="8"/>
  <c r="J36" i="26"/>
  <c r="H35" i="17"/>
  <c r="N14" i="26"/>
  <c r="I13" i="17"/>
  <c r="I35" i="17"/>
  <c r="N33" i="8"/>
  <c r="H13" i="17"/>
  <c r="I25" i="26"/>
  <c r="N24" i="8"/>
  <c r="G44" i="20"/>
  <c r="I31" i="26"/>
  <c r="I14" i="17"/>
  <c r="I20" i="8"/>
  <c r="I29" i="17"/>
  <c r="I13" i="8"/>
  <c r="I13" i="26"/>
  <c r="N33" i="26"/>
  <c r="I11" i="26"/>
  <c r="I33" i="17"/>
  <c r="I18" i="17"/>
  <c r="I26" i="17"/>
  <c r="E53" i="20"/>
  <c r="I31" i="17"/>
  <c r="H33" i="17"/>
  <c r="H27" i="17"/>
  <c r="I16" i="26"/>
  <c r="I23" i="17"/>
  <c r="N34" i="8"/>
  <c r="N30" i="17"/>
  <c r="H24" i="17"/>
  <c r="N33" i="17"/>
  <c r="I29" i="26"/>
  <c r="I32" i="8"/>
  <c r="G49" i="20"/>
  <c r="I23" i="8"/>
  <c r="I22" i="8"/>
  <c r="I12" i="8"/>
  <c r="I36" i="26"/>
  <c r="I20" i="26"/>
  <c r="M36" i="26"/>
  <c r="I12" i="17"/>
  <c r="I19" i="17"/>
  <c r="I24" i="26"/>
  <c r="I27" i="26"/>
  <c r="N36" i="8"/>
  <c r="F45" i="20"/>
  <c r="I23" i="26"/>
  <c r="J36" i="8"/>
  <c r="N24" i="17"/>
  <c r="I34" i="26"/>
  <c r="I34" i="17"/>
  <c r="I21" i="8"/>
  <c r="N36" i="26"/>
  <c r="H16" i="17"/>
  <c r="M36" i="8"/>
  <c r="I31" i="8"/>
  <c r="E49" i="20"/>
  <c r="H11" i="17"/>
  <c r="M36" i="17"/>
  <c r="I24" i="17"/>
  <c r="J36" i="17"/>
  <c r="I17" i="8"/>
  <c r="I26" i="26"/>
  <c r="N34" i="26"/>
  <c r="I35" i="8"/>
  <c r="N18" i="8"/>
  <c r="I32" i="17"/>
  <c r="I14" i="26"/>
  <c r="H16" i="26"/>
  <c r="I12" i="26"/>
  <c r="N30" i="8"/>
  <c r="I30" i="26"/>
  <c r="H18" i="17"/>
  <c r="I19" i="8"/>
  <c r="E45" i="20"/>
  <c r="I16" i="8"/>
  <c r="H29" i="17"/>
  <c r="N18" i="26"/>
  <c r="I30" i="17"/>
  <c r="I28" i="17"/>
  <c r="I22" i="17"/>
  <c r="I27" i="8"/>
  <c r="I33" i="26"/>
  <c r="K36" i="17"/>
  <c r="I19" i="26"/>
  <c r="H28" i="17"/>
  <c r="N24" i="26"/>
  <c r="K36" i="8"/>
  <c r="N34" i="17"/>
  <c r="F49" i="20"/>
  <c r="N30" i="26"/>
  <c r="N36" i="17"/>
  <c r="G45" i="20"/>
  <c r="F44" i="20"/>
  <c r="K36" i="26"/>
  <c r="I17" i="26"/>
  <c r="H34" i="17"/>
  <c r="I35" i="26"/>
  <c r="I25" i="8"/>
  <c r="N18" i="17"/>
  <c r="I18" i="26"/>
  <c r="I16" i="17"/>
  <c r="I33" i="8"/>
  <c r="F53" i="20"/>
  <c r="I29" i="8"/>
  <c r="I11" i="17"/>
  <c r="I25" i="17"/>
  <c r="I28" i="26"/>
  <c r="I22" i="26"/>
  <c r="G47" i="20"/>
  <c r="I20" i="17"/>
  <c r="I14" i="8"/>
  <c r="I26" i="8"/>
  <c r="H30" i="17"/>
  <c r="H36" i="17"/>
  <c r="H23" i="8" l="1"/>
  <c r="H24" i="26"/>
  <c r="H34" i="26"/>
  <c r="H29" i="26"/>
  <c r="H27" i="26"/>
  <c r="H24" i="8"/>
  <c r="H11" i="26"/>
  <c r="H13" i="8"/>
  <c r="Q25" i="1"/>
  <c r="H33" i="8"/>
  <c r="H30" i="26"/>
  <c r="Q37" i="16"/>
  <c r="Q37" i="25"/>
  <c r="H35" i="26"/>
  <c r="H27" i="8"/>
  <c r="H30" i="8"/>
  <c r="G43" i="20"/>
  <c r="Q25" i="25"/>
  <c r="H35" i="8"/>
  <c r="H36" i="26"/>
  <c r="H26" i="26"/>
  <c r="H29" i="8"/>
  <c r="H26" i="8"/>
  <c r="H13" i="26"/>
  <c r="H18" i="26"/>
  <c r="H28" i="8"/>
  <c r="E39" i="20"/>
  <c r="F43" i="20"/>
  <c r="H33" i="26"/>
  <c r="Q35" i="16"/>
  <c r="H28" i="26"/>
  <c r="F39" i="20"/>
  <c r="H12" i="8"/>
  <c r="E43" i="20"/>
  <c r="Q35" i="25"/>
  <c r="H16" i="8"/>
  <c r="H12" i="26"/>
  <c r="H34" i="8"/>
  <c r="Q25" i="16"/>
  <c r="G39" i="20"/>
  <c r="Q37" i="1"/>
  <c r="Q35" i="1"/>
  <c r="H36" i="8"/>
  <c r="H17" i="23" l="1"/>
  <c r="H33" i="23"/>
  <c r="H34" i="23"/>
  <c r="H31" i="25"/>
  <c r="I17" i="1"/>
  <c r="I28" i="25"/>
  <c r="E24" i="20"/>
  <c r="I26" i="1"/>
  <c r="H31" i="16"/>
  <c r="I37" i="25"/>
  <c r="H19" i="25"/>
  <c r="I12" i="1"/>
  <c r="H37" i="16"/>
  <c r="I37" i="1"/>
  <c r="I35" i="25"/>
  <c r="I29" i="16"/>
  <c r="E25" i="20"/>
  <c r="H37" i="1"/>
  <c r="G25" i="20"/>
  <c r="I19" i="25"/>
  <c r="I27" i="16"/>
  <c r="I26" i="25"/>
  <c r="I12" i="25"/>
  <c r="H31" i="1"/>
  <c r="I27" i="25"/>
  <c r="I27" i="1"/>
  <c r="I37" i="16"/>
  <c r="I18" i="16"/>
  <c r="G24" i="20"/>
  <c r="I33" i="25"/>
  <c r="I17" i="16"/>
  <c r="I18" i="1"/>
  <c r="I14" i="25"/>
  <c r="F25" i="20"/>
  <c r="I19" i="16"/>
  <c r="I33" i="16"/>
  <c r="H19" i="16"/>
  <c r="I17" i="25"/>
  <c r="F24" i="20"/>
  <c r="I12" i="16"/>
  <c r="I28" i="1"/>
  <c r="H37" i="25"/>
  <c r="I36" i="25"/>
  <c r="I19" i="1"/>
  <c r="I26" i="16"/>
  <c r="H19" i="1"/>
  <c r="I35" i="1"/>
  <c r="I33" i="1"/>
  <c r="I35" i="16"/>
  <c r="I29" i="1"/>
  <c r="I28" i="16"/>
  <c r="I29" i="25"/>
  <c r="I18" i="25"/>
  <c r="H35" i="13" l="1"/>
  <c r="E35" i="13"/>
  <c r="H34" i="13"/>
  <c r="E34" i="13"/>
  <c r="H33" i="13"/>
  <c r="E33" i="13"/>
  <c r="E32" i="13"/>
  <c r="E31" i="13"/>
  <c r="E30" i="13"/>
  <c r="H29" i="13"/>
  <c r="E29" i="13"/>
  <c r="H28" i="13"/>
  <c r="E28" i="13"/>
  <c r="H27" i="13"/>
  <c r="E27" i="13"/>
  <c r="H26" i="13"/>
  <c r="E26" i="13"/>
  <c r="H25" i="13"/>
  <c r="E25" i="13"/>
  <c r="E24" i="13"/>
  <c r="H23" i="13"/>
  <c r="E23" i="13"/>
  <c r="H22" i="13"/>
  <c r="E22" i="13"/>
  <c r="E21" i="13"/>
  <c r="E20" i="13"/>
  <c r="E19" i="13"/>
  <c r="E18" i="13"/>
  <c r="E17" i="13"/>
  <c r="E16" i="13"/>
  <c r="H15" i="13"/>
  <c r="E15" i="13"/>
  <c r="E14" i="13"/>
  <c r="E13" i="13"/>
  <c r="H12" i="13"/>
  <c r="E12" i="13"/>
  <c r="H11" i="13"/>
  <c r="E11" i="13"/>
  <c r="H10" i="13"/>
  <c r="E10" i="13"/>
  <c r="H35" i="15"/>
  <c r="E35" i="15"/>
  <c r="H34" i="15"/>
  <c r="E34" i="15"/>
  <c r="H33" i="15"/>
  <c r="E33" i="15"/>
  <c r="E32" i="15"/>
  <c r="E31" i="15"/>
  <c r="E30" i="15"/>
  <c r="H29" i="15"/>
  <c r="E29" i="15"/>
  <c r="H28" i="15"/>
  <c r="E28" i="15"/>
  <c r="H27" i="15"/>
  <c r="E27" i="15"/>
  <c r="H26" i="15"/>
  <c r="E26" i="15"/>
  <c r="H25" i="15"/>
  <c r="E25" i="15"/>
  <c r="E24" i="15"/>
  <c r="H23" i="15"/>
  <c r="E23" i="15"/>
  <c r="H22" i="15"/>
  <c r="E22" i="15"/>
  <c r="E21" i="15"/>
  <c r="E20" i="15"/>
  <c r="E19" i="15"/>
  <c r="E18" i="15"/>
  <c r="H17" i="15"/>
  <c r="E17" i="15"/>
  <c r="E16" i="15"/>
  <c r="H15" i="15"/>
  <c r="E15" i="15"/>
  <c r="E14" i="15"/>
  <c r="E13" i="15"/>
  <c r="H12" i="15"/>
  <c r="E12" i="15"/>
  <c r="H11" i="15"/>
  <c r="E11" i="15"/>
  <c r="H10" i="15"/>
  <c r="E10" i="15"/>
  <c r="H26" i="23" l="1"/>
  <c r="H12" i="23" l="1"/>
  <c r="H15" i="23"/>
  <c r="H22" i="23"/>
  <c r="H27" i="23"/>
  <c r="H11" i="23"/>
  <c r="H23" i="23"/>
  <c r="H28" i="23"/>
  <c r="H29" i="23"/>
  <c r="H35" i="23"/>
  <c r="H25" i="23"/>
  <c r="H10" i="23"/>
  <c r="E35" i="23" l="1"/>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40" i="35" l="1"/>
  <c r="F45" i="35" l="1"/>
  <c r="E45" i="35"/>
  <c r="F20" i="35" l="1"/>
  <c r="E19" i="35" l="1"/>
  <c r="F19" i="35"/>
  <c r="S177" i="19" l="1"/>
  <c r="T177" i="19"/>
  <c r="U177" i="19"/>
  <c r="S178" i="19"/>
  <c r="T178" i="19"/>
  <c r="U178" i="19"/>
  <c r="S179" i="19"/>
  <c r="T179" i="19"/>
  <c r="U179" i="19"/>
  <c r="S180" i="19"/>
  <c r="T180" i="19"/>
  <c r="U180" i="19"/>
  <c r="S181" i="19"/>
  <c r="T181" i="19"/>
  <c r="U181" i="19"/>
  <c r="S182" i="19"/>
  <c r="T182" i="19"/>
  <c r="U182" i="19"/>
  <c r="S183" i="19"/>
  <c r="T183" i="19"/>
  <c r="U183" i="19"/>
  <c r="S184" i="19"/>
  <c r="T184" i="19"/>
  <c r="U184" i="19"/>
  <c r="S185" i="19"/>
  <c r="T185" i="19"/>
  <c r="U185" i="19"/>
  <c r="S186" i="19"/>
  <c r="T186" i="19"/>
  <c r="U186" i="19"/>
  <c r="S171" i="19"/>
  <c r="T171" i="19"/>
  <c r="U171" i="19"/>
  <c r="S172" i="19"/>
  <c r="T172" i="19"/>
  <c r="U172" i="19"/>
  <c r="S173" i="19"/>
  <c r="T173" i="19"/>
  <c r="U173" i="19"/>
  <c r="S174" i="19"/>
  <c r="T174" i="19"/>
  <c r="U174" i="19"/>
  <c r="S175" i="19"/>
  <c r="T175" i="19"/>
  <c r="U175" i="19"/>
  <c r="S164" i="19"/>
  <c r="T164" i="19"/>
  <c r="U164" i="19"/>
  <c r="S165" i="19"/>
  <c r="T165" i="19"/>
  <c r="U165" i="19"/>
  <c r="S166" i="19"/>
  <c r="T166" i="19"/>
  <c r="U166" i="19"/>
  <c r="S167" i="19"/>
  <c r="T167" i="19"/>
  <c r="U167" i="19"/>
  <c r="S168" i="19"/>
  <c r="T168" i="19"/>
  <c r="U168" i="19"/>
  <c r="S169" i="19"/>
  <c r="T169" i="19"/>
  <c r="U169" i="19"/>
  <c r="R178" i="19"/>
  <c r="R179" i="19"/>
  <c r="R180" i="19"/>
  <c r="R181" i="19"/>
  <c r="R182" i="19"/>
  <c r="R183" i="19"/>
  <c r="R184" i="19"/>
  <c r="R185" i="19"/>
  <c r="R186" i="19"/>
  <c r="R177" i="19"/>
  <c r="R172" i="19"/>
  <c r="R173" i="19"/>
  <c r="R174" i="19"/>
  <c r="R175" i="19"/>
  <c r="R171" i="19"/>
  <c r="R165" i="19"/>
  <c r="R166" i="19"/>
  <c r="R167" i="19"/>
  <c r="R168" i="19"/>
  <c r="R169" i="19"/>
  <c r="R164" i="19"/>
  <c r="B35" i="36" l="1"/>
  <c r="B45" i="36" l="1"/>
  <c r="B44" i="36"/>
  <c r="B43" i="36"/>
  <c r="B41" i="36"/>
  <c r="B42" i="36"/>
  <c r="E20" i="35"/>
  <c r="E67" i="35" s="1"/>
  <c r="E92" i="35" l="1"/>
  <c r="E49" i="35"/>
  <c r="E50" i="35"/>
  <c r="F50" i="35"/>
  <c r="G50" i="35"/>
  <c r="H50" i="35"/>
  <c r="I50" i="35"/>
  <c r="D50" i="35"/>
  <c r="F49" i="35" l="1"/>
  <c r="G49" i="35"/>
  <c r="H49" i="35"/>
  <c r="I49" i="35"/>
  <c r="G19" i="35"/>
  <c r="H19" i="35"/>
  <c r="I19" i="35"/>
  <c r="E27" i="35" l="1"/>
  <c r="H68" i="20"/>
  <c r="I68" i="20"/>
  <c r="J68" i="20"/>
  <c r="K68" i="20"/>
  <c r="L68" i="20"/>
  <c r="M68" i="20"/>
  <c r="H150" i="15"/>
  <c r="B38" i="36"/>
  <c r="M4" i="20" l="1"/>
  <c r="L4" i="20"/>
  <c r="K4" i="20"/>
  <c r="J4" i="20"/>
  <c r="I4" i="20"/>
  <c r="H4" i="20"/>
  <c r="G4" i="20"/>
  <c r="I15" i="35" s="1"/>
  <c r="I38" i="35" s="1"/>
  <c r="I60" i="35" s="1"/>
  <c r="I84" i="35" s="1"/>
  <c r="F4" i="20"/>
  <c r="H15" i="35" s="1"/>
  <c r="H38" i="35" s="1"/>
  <c r="H60" i="35" s="1"/>
  <c r="H84" i="35" s="1"/>
  <c r="E4" i="20"/>
  <c r="G15" i="35" s="1"/>
  <c r="G38" i="35" s="1"/>
  <c r="G60" i="35" s="1"/>
  <c r="G84" i="35" s="1"/>
  <c r="D4" i="20"/>
  <c r="F15" i="35" s="1"/>
  <c r="F38" i="35" s="1"/>
  <c r="F60" i="35" s="1"/>
  <c r="F84" i="35" s="1"/>
  <c r="C4" i="20"/>
  <c r="E15" i="35" s="1"/>
  <c r="E38" i="35" s="1"/>
  <c r="E60" i="35" s="1"/>
  <c r="E84" i="35" s="1"/>
  <c r="K6" i="18"/>
  <c r="H6" i="17"/>
  <c r="H6" i="16"/>
  <c r="E6" i="15"/>
  <c r="K6" i="9"/>
  <c r="H6" i="8"/>
  <c r="H6" i="1"/>
  <c r="E6" i="13"/>
  <c r="K6" i="27"/>
  <c r="H6" i="26"/>
  <c r="H6" i="25"/>
  <c r="G11" i="37" l="1"/>
  <c r="D13" i="20" l="1"/>
  <c r="E13" i="20"/>
  <c r="F13" i="20"/>
  <c r="G13" i="20"/>
  <c r="E44" i="35"/>
  <c r="H64" i="35" l="1"/>
  <c r="H73" i="35"/>
  <c r="I64" i="35"/>
  <c r="I73" i="35"/>
  <c r="G64" i="35"/>
  <c r="G73" i="35"/>
  <c r="H20" i="35"/>
  <c r="G20" i="35"/>
  <c r="I20" i="35"/>
  <c r="N641" i="35"/>
  <c r="B32" i="36"/>
  <c r="O203" i="18"/>
  <c r="I152" i="17"/>
  <c r="H153" i="16"/>
  <c r="P188" i="9"/>
  <c r="K152" i="8"/>
  <c r="L153" i="1"/>
  <c r="O193" i="27"/>
  <c r="J152" i="26"/>
  <c r="F173" i="26"/>
  <c r="I27" i="35" l="1"/>
  <c r="I67" i="35"/>
  <c r="I71" i="35"/>
  <c r="H27" i="35"/>
  <c r="H71" i="35"/>
  <c r="H67" i="35"/>
  <c r="G27" i="35"/>
  <c r="G67" i="35"/>
  <c r="F27" i="35"/>
  <c r="G71" i="35"/>
  <c r="F71" i="35"/>
  <c r="F67" i="35"/>
  <c r="B13" i="36"/>
  <c r="B14" i="36"/>
  <c r="F174" i="25"/>
  <c r="V24" i="25"/>
  <c r="F72" i="35" l="1"/>
  <c r="G72" i="35" s="1"/>
  <c r="H72" i="35" s="1"/>
  <c r="I72" i="35" s="1"/>
  <c r="K71" i="35"/>
  <c r="C270" i="20"/>
  <c r="C271" i="20"/>
  <c r="C272" i="20"/>
  <c r="C273" i="20"/>
  <c r="C274" i="20"/>
  <c r="C276" i="20"/>
  <c r="C277" i="20"/>
  <c r="C281" i="20"/>
  <c r="C284" i="20"/>
  <c r="C285" i="20"/>
  <c r="C299" i="20"/>
  <c r="C301" i="20"/>
  <c r="C308" i="20"/>
  <c r="C311" i="20"/>
  <c r="C312" i="20"/>
  <c r="C269" i="20"/>
  <c r="C85" i="35" l="1"/>
  <c r="H150" i="23" l="1"/>
  <c r="H376" i="20" l="1"/>
  <c r="I376" i="20"/>
  <c r="J376" i="20"/>
  <c r="K376" i="20"/>
  <c r="L376" i="20"/>
  <c r="M376" i="20"/>
  <c r="G304" i="19" l="1"/>
  <c r="S176" i="19"/>
  <c r="T170" i="19"/>
  <c r="S170" i="19"/>
  <c r="R170" i="19"/>
  <c r="G17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4" i="35"/>
  <c r="R163" i="19"/>
  <c r="T163" i="19"/>
  <c r="T187" i="19" l="1"/>
  <c r="R187" i="19"/>
  <c r="F68" i="35"/>
  <c r="F62" i="35" s="1"/>
  <c r="U187" i="19"/>
  <c r="C204" i="20"/>
  <c r="C208" i="20" s="1"/>
  <c r="C197" i="20"/>
  <c r="C181" i="20"/>
  <c r="D270" i="20"/>
  <c r="D269" i="20"/>
  <c r="C163" i="20"/>
  <c r="F63" i="35" l="1"/>
  <c r="C182" i="20"/>
  <c r="C268" i="20"/>
  <c r="D301" i="20"/>
  <c r="D299" i="20"/>
  <c r="D308" i="20"/>
  <c r="D271" i="20"/>
  <c r="D272" i="20"/>
  <c r="D276" i="20"/>
  <c r="D277" i="20"/>
  <c r="D281" i="20"/>
  <c r="D284" i="20"/>
  <c r="D285" i="20"/>
  <c r="D274" i="20"/>
  <c r="D310" i="20"/>
  <c r="D311" i="20"/>
  <c r="G44" i="35"/>
  <c r="G68" i="35" s="1"/>
  <c r="C198" i="20"/>
  <c r="D181" i="20"/>
  <c r="D197" i="20"/>
  <c r="G63" i="35" l="1"/>
  <c r="J21" i="37"/>
  <c r="C200" i="20"/>
  <c r="D198" i="20"/>
  <c r="J20" i="37" l="1"/>
  <c r="H44" i="35"/>
  <c r="H68" i="35" s="1"/>
  <c r="H63" i="35" s="1"/>
  <c r="K21" i="37" l="1"/>
  <c r="T56" i="18"/>
  <c r="T51" i="18"/>
  <c r="T46" i="18"/>
  <c r="T41" i="18"/>
  <c r="T36" i="18"/>
  <c r="T31" i="18"/>
  <c r="T21" i="18"/>
  <c r="K20" i="37" l="1"/>
  <c r="I44" i="35"/>
  <c r="I68" i="35" s="1"/>
  <c r="I63" i="35" s="1"/>
  <c r="C124" i="20"/>
  <c r="C123" i="20"/>
  <c r="C122" i="20"/>
  <c r="C121" i="20"/>
  <c r="C120" i="20"/>
  <c r="C119" i="20"/>
  <c r="C117" i="20"/>
  <c r="C116" i="20"/>
  <c r="D152" i="20"/>
  <c r="J152" i="8"/>
  <c r="D150" i="20" s="1"/>
  <c r="K152" i="17"/>
  <c r="D47" i="20" s="1"/>
  <c r="J152" i="17"/>
  <c r="D45" i="20" s="1"/>
  <c r="K152" i="26"/>
  <c r="C47" i="20" s="1"/>
  <c r="C152" i="20" s="1"/>
  <c r="C45" i="20"/>
  <c r="O152" i="26"/>
  <c r="C50" i="20" s="1"/>
  <c r="C155" i="20" s="1"/>
  <c r="N152" i="26"/>
  <c r="C53" i="20" s="1"/>
  <c r="M152" i="26"/>
  <c r="C49" i="20" s="1"/>
  <c r="L152" i="26"/>
  <c r="C48" i="20" s="1"/>
  <c r="C153" i="20" s="1"/>
  <c r="P153" i="25"/>
  <c r="C35" i="20" s="1"/>
  <c r="O153" i="25"/>
  <c r="C34" i="20" s="1"/>
  <c r="N153" i="25"/>
  <c r="C33" i="20" s="1"/>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153" i="1"/>
  <c r="D143" i="20" s="1"/>
  <c r="S153" i="1"/>
  <c r="D142" i="20" s="1"/>
  <c r="R153" i="1"/>
  <c r="D141" i="20" s="1"/>
  <c r="Q153" i="1"/>
  <c r="D144" i="20" s="1"/>
  <c r="P153" i="1"/>
  <c r="D140" i="20" s="1"/>
  <c r="N153" i="1"/>
  <c r="D138" i="20" s="1"/>
  <c r="Q152" i="8"/>
  <c r="D157" i="20" s="1"/>
  <c r="P152" i="8"/>
  <c r="D156" i="20" s="1"/>
  <c r="O152" i="8"/>
  <c r="D155" i="20" s="1"/>
  <c r="N152" i="8"/>
  <c r="D158" i="20" s="1"/>
  <c r="M152" i="8"/>
  <c r="D154" i="20" s="1"/>
  <c r="L152" i="8"/>
  <c r="D153" i="20" s="1"/>
  <c r="T153" i="25"/>
  <c r="C38" i="20" s="1"/>
  <c r="S153" i="25"/>
  <c r="C37" i="20" s="1"/>
  <c r="R153" i="25"/>
  <c r="C36" i="20" s="1"/>
  <c r="R151" i="26"/>
  <c r="R150" i="26"/>
  <c r="I302" i="19" s="1"/>
  <c r="R149" i="26"/>
  <c r="I301" i="19" s="1"/>
  <c r="R148" i="26"/>
  <c r="I300" i="19" s="1"/>
  <c r="R147" i="26"/>
  <c r="I299" i="19" s="1"/>
  <c r="R146" i="26"/>
  <c r="I298" i="19" s="1"/>
  <c r="R145" i="26"/>
  <c r="I297" i="19" s="1"/>
  <c r="R144" i="26"/>
  <c r="I296" i="19" s="1"/>
  <c r="R143" i="26"/>
  <c r="I295" i="19" s="1"/>
  <c r="R142" i="26"/>
  <c r="I294" i="19" s="1"/>
  <c r="R141" i="26"/>
  <c r="I293" i="19" s="1"/>
  <c r="R140" i="26"/>
  <c r="I292" i="19" s="1"/>
  <c r="R139" i="26"/>
  <c r="I291" i="19" s="1"/>
  <c r="R138" i="26"/>
  <c r="I290" i="19" s="1"/>
  <c r="R137" i="26"/>
  <c r="I289" i="19" s="1"/>
  <c r="R136" i="26"/>
  <c r="I288" i="19" s="1"/>
  <c r="R135" i="26"/>
  <c r="I287" i="19" s="1"/>
  <c r="R134" i="26"/>
  <c r="I286" i="19" s="1"/>
  <c r="R133" i="26"/>
  <c r="I285" i="19" s="1"/>
  <c r="R132" i="26"/>
  <c r="I284" i="19" s="1"/>
  <c r="R131" i="26"/>
  <c r="I283" i="19" s="1"/>
  <c r="R130" i="26"/>
  <c r="I282" i="19" s="1"/>
  <c r="R129" i="26"/>
  <c r="I281" i="19" s="1"/>
  <c r="R128" i="26"/>
  <c r="I280" i="19" s="1"/>
  <c r="R127" i="26"/>
  <c r="I279" i="19" s="1"/>
  <c r="R126" i="26"/>
  <c r="I278" i="19" s="1"/>
  <c r="R125" i="26"/>
  <c r="I277" i="19" s="1"/>
  <c r="R124" i="26"/>
  <c r="I276" i="19" s="1"/>
  <c r="R123" i="26"/>
  <c r="I275" i="19" s="1"/>
  <c r="R122" i="26"/>
  <c r="I274" i="19" s="1"/>
  <c r="R121" i="26"/>
  <c r="I273" i="19" s="1"/>
  <c r="R120" i="26"/>
  <c r="I272" i="19" s="1"/>
  <c r="R119" i="26"/>
  <c r="I271" i="19" s="1"/>
  <c r="R118" i="26"/>
  <c r="I270" i="19" s="1"/>
  <c r="R117" i="26"/>
  <c r="I269" i="19" s="1"/>
  <c r="R116" i="26"/>
  <c r="I268" i="19" s="1"/>
  <c r="R115" i="26"/>
  <c r="I267" i="19" s="1"/>
  <c r="R114" i="26"/>
  <c r="I266" i="19" s="1"/>
  <c r="R113" i="26"/>
  <c r="I265" i="19" s="1"/>
  <c r="R112" i="26"/>
  <c r="I264" i="19" s="1"/>
  <c r="R111" i="26"/>
  <c r="I263" i="19" s="1"/>
  <c r="R110" i="26"/>
  <c r="I262" i="19" s="1"/>
  <c r="R109" i="26"/>
  <c r="I261" i="19" s="1"/>
  <c r="R108" i="26"/>
  <c r="I260" i="19" s="1"/>
  <c r="R107" i="26"/>
  <c r="I259" i="19" s="1"/>
  <c r="R106" i="26"/>
  <c r="I258" i="19" s="1"/>
  <c r="R105" i="26"/>
  <c r="I257" i="19" s="1"/>
  <c r="R104" i="26"/>
  <c r="I256" i="19" s="1"/>
  <c r="R103" i="26"/>
  <c r="I255" i="19" s="1"/>
  <c r="R102" i="26"/>
  <c r="I254" i="19" s="1"/>
  <c r="R101" i="26"/>
  <c r="I253" i="19" s="1"/>
  <c r="R100" i="26"/>
  <c r="I252" i="19" s="1"/>
  <c r="R99" i="26"/>
  <c r="I251" i="19" s="1"/>
  <c r="R98" i="26"/>
  <c r="I250" i="19" s="1"/>
  <c r="R97" i="26"/>
  <c r="I249" i="19" s="1"/>
  <c r="R96" i="26"/>
  <c r="I248" i="19" s="1"/>
  <c r="R95" i="26"/>
  <c r="I247" i="19" s="1"/>
  <c r="R94" i="26"/>
  <c r="I246" i="19" s="1"/>
  <c r="R93" i="26"/>
  <c r="I245" i="19" s="1"/>
  <c r="R92" i="26"/>
  <c r="I244" i="19" s="1"/>
  <c r="R91" i="26"/>
  <c r="I243" i="19" s="1"/>
  <c r="R90" i="26"/>
  <c r="I242" i="19" s="1"/>
  <c r="R89" i="26"/>
  <c r="I241" i="19" s="1"/>
  <c r="R88" i="26"/>
  <c r="I240" i="19" s="1"/>
  <c r="R87" i="26"/>
  <c r="I239" i="19" s="1"/>
  <c r="R86" i="26"/>
  <c r="I238" i="19" s="1"/>
  <c r="R85" i="26"/>
  <c r="I237" i="19" s="1"/>
  <c r="R84" i="26"/>
  <c r="I236" i="19" s="1"/>
  <c r="R83" i="26"/>
  <c r="I235" i="19" s="1"/>
  <c r="R82" i="26"/>
  <c r="I234" i="19" s="1"/>
  <c r="R81" i="26"/>
  <c r="I233" i="19" s="1"/>
  <c r="R80" i="26"/>
  <c r="I232" i="19" s="1"/>
  <c r="R79" i="26"/>
  <c r="I231" i="19" s="1"/>
  <c r="R78" i="26"/>
  <c r="I230" i="19" s="1"/>
  <c r="R77" i="26"/>
  <c r="I229" i="19" s="1"/>
  <c r="R76" i="26"/>
  <c r="I228" i="19" s="1"/>
  <c r="R75" i="26"/>
  <c r="I227" i="19" s="1"/>
  <c r="R74" i="26"/>
  <c r="I226" i="19" s="1"/>
  <c r="R73" i="26"/>
  <c r="I225" i="19" s="1"/>
  <c r="R72" i="26"/>
  <c r="I224" i="19" s="1"/>
  <c r="R71" i="26"/>
  <c r="I223" i="19" s="1"/>
  <c r="R70" i="26"/>
  <c r="I222" i="19" s="1"/>
  <c r="R69" i="26"/>
  <c r="I221" i="19" s="1"/>
  <c r="R68" i="26"/>
  <c r="I220" i="19" s="1"/>
  <c r="R67" i="26"/>
  <c r="I219" i="19" s="1"/>
  <c r="R66" i="26"/>
  <c r="I218" i="19" s="1"/>
  <c r="R65" i="26"/>
  <c r="I217" i="19" s="1"/>
  <c r="R64" i="26"/>
  <c r="I216" i="19" s="1"/>
  <c r="R63" i="26"/>
  <c r="I215" i="19" s="1"/>
  <c r="R62" i="26"/>
  <c r="I214" i="19" s="1"/>
  <c r="R61" i="26"/>
  <c r="I213" i="19" s="1"/>
  <c r="R60" i="26"/>
  <c r="I212" i="19" s="1"/>
  <c r="R59" i="26"/>
  <c r="I211" i="19" s="1"/>
  <c r="R58" i="26"/>
  <c r="I210" i="19" s="1"/>
  <c r="R57" i="26"/>
  <c r="I209" i="19" s="1"/>
  <c r="R56" i="26"/>
  <c r="I208" i="19" s="1"/>
  <c r="R55" i="26"/>
  <c r="I207" i="19" s="1"/>
  <c r="R54" i="26"/>
  <c r="I206" i="19" s="1"/>
  <c r="R53" i="26"/>
  <c r="I205" i="19" s="1"/>
  <c r="R52" i="26"/>
  <c r="I204" i="19" s="1"/>
  <c r="R51" i="26"/>
  <c r="I203" i="19" s="1"/>
  <c r="R50" i="26"/>
  <c r="I202" i="19" s="1"/>
  <c r="R49" i="26"/>
  <c r="I201" i="19" s="1"/>
  <c r="R48" i="26"/>
  <c r="I200" i="19" s="1"/>
  <c r="R47" i="26"/>
  <c r="I199" i="19" s="1"/>
  <c r="R46" i="26"/>
  <c r="I198" i="19" s="1"/>
  <c r="R45" i="26"/>
  <c r="I197" i="19" s="1"/>
  <c r="R44" i="26"/>
  <c r="I196" i="19" s="1"/>
  <c r="R43" i="26"/>
  <c r="I195" i="19" s="1"/>
  <c r="R42" i="26"/>
  <c r="I194" i="19" s="1"/>
  <c r="R41" i="26"/>
  <c r="I193" i="19" s="1"/>
  <c r="R40" i="26"/>
  <c r="I192" i="19" s="1"/>
  <c r="R39" i="26"/>
  <c r="I191" i="19" s="1"/>
  <c r="R38" i="26"/>
  <c r="I190" i="19" s="1"/>
  <c r="R37" i="26"/>
  <c r="I189" i="19" s="1"/>
  <c r="R36" i="26"/>
  <c r="I188" i="19" s="1"/>
  <c r="R35" i="26"/>
  <c r="I187" i="19" s="1"/>
  <c r="R34" i="26"/>
  <c r="I186" i="19" s="1"/>
  <c r="R33" i="26"/>
  <c r="I185" i="19" s="1"/>
  <c r="R32" i="26"/>
  <c r="I184" i="19" s="1"/>
  <c r="R31" i="26"/>
  <c r="I183" i="19" s="1"/>
  <c r="R30" i="26"/>
  <c r="I182" i="19" s="1"/>
  <c r="R29" i="26"/>
  <c r="I181" i="19" s="1"/>
  <c r="R28" i="26"/>
  <c r="I180" i="19" s="1"/>
  <c r="R27" i="26"/>
  <c r="I179" i="19" s="1"/>
  <c r="R26" i="26"/>
  <c r="I178" i="19" s="1"/>
  <c r="R25" i="26"/>
  <c r="I177" i="19" s="1"/>
  <c r="R24" i="26"/>
  <c r="I176" i="19" s="1"/>
  <c r="R23" i="26"/>
  <c r="I175" i="19" s="1"/>
  <c r="R22" i="26"/>
  <c r="I174" i="19" s="1"/>
  <c r="R21" i="26"/>
  <c r="I173" i="19" s="1"/>
  <c r="R20" i="26"/>
  <c r="I172" i="19" s="1"/>
  <c r="R19" i="26"/>
  <c r="I171" i="19" s="1"/>
  <c r="R18" i="26"/>
  <c r="I170" i="19" s="1"/>
  <c r="R17" i="26"/>
  <c r="I169" i="19" s="1"/>
  <c r="R16" i="26"/>
  <c r="I168" i="19" s="1"/>
  <c r="R15" i="26"/>
  <c r="I167" i="19" s="1"/>
  <c r="R14" i="26"/>
  <c r="I166" i="19" s="1"/>
  <c r="R13" i="26"/>
  <c r="I165" i="19" s="1"/>
  <c r="R12" i="26"/>
  <c r="I164" i="19" s="1"/>
  <c r="R11" i="26"/>
  <c r="I163" i="19" s="1"/>
  <c r="Q152" i="26"/>
  <c r="P152" i="26"/>
  <c r="C51" i="20" s="1"/>
  <c r="C156" i="20" s="1"/>
  <c r="L21" i="37" l="1"/>
  <c r="I303" i="19"/>
  <c r="F175" i="26"/>
  <c r="F176" i="26" s="1"/>
  <c r="F177" i="26" s="1"/>
  <c r="B18" i="36" s="1"/>
  <c r="I305" i="19"/>
  <c r="C52" i="20"/>
  <c r="C157" i="20" s="1"/>
  <c r="C154" i="20"/>
  <c r="C158" i="20"/>
  <c r="C138" i="20"/>
  <c r="C143" i="20"/>
  <c r="C141" i="20"/>
  <c r="C139" i="20"/>
  <c r="C150" i="20"/>
  <c r="C140" i="20"/>
  <c r="C142" i="20"/>
  <c r="K15" i="37" l="1"/>
  <c r="L15" i="37"/>
  <c r="D263" i="20"/>
  <c r="C263" i="20"/>
  <c r="D262" i="20"/>
  <c r="C262" i="20"/>
  <c r="D261" i="20"/>
  <c r="C261" i="20"/>
  <c r="D260" i="20"/>
  <c r="C260" i="20"/>
  <c r="D259" i="20"/>
  <c r="C259" i="20"/>
  <c r="D258" i="20"/>
  <c r="C258" i="20"/>
  <c r="D257" i="20"/>
  <c r="C257" i="20"/>
  <c r="D255" i="20"/>
  <c r="C255" i="20"/>
  <c r="D249" i="20"/>
  <c r="D248" i="20"/>
  <c r="C248" i="20"/>
  <c r="D247" i="20"/>
  <c r="C247" i="20"/>
  <c r="D246" i="20"/>
  <c r="C246" i="20"/>
  <c r="D245" i="20"/>
  <c r="C245" i="20"/>
  <c r="C244" i="20"/>
  <c r="C243" i="20"/>
  <c r="D229" i="20"/>
  <c r="C229" i="20"/>
  <c r="D228" i="20"/>
  <c r="C228" i="20"/>
  <c r="D227" i="20"/>
  <c r="C227" i="20"/>
  <c r="D226" i="20"/>
  <c r="C226" i="20"/>
  <c r="D225" i="20"/>
  <c r="C225" i="20"/>
  <c r="D224" i="20"/>
  <c r="C224" i="20"/>
  <c r="D222" i="20"/>
  <c r="C222" i="20"/>
  <c r="D221" i="20"/>
  <c r="C221" i="20"/>
  <c r="L58" i="20" l="1"/>
  <c r="M380" i="20"/>
  <c r="L380" i="20"/>
  <c r="K380" i="20"/>
  <c r="J380" i="20"/>
  <c r="I380" i="20"/>
  <c r="H380" i="20"/>
  <c r="G380" i="20"/>
  <c r="F380" i="20"/>
  <c r="E380" i="20"/>
  <c r="C380" i="20"/>
  <c r="H33" i="37" s="1"/>
  <c r="C376" i="20"/>
  <c r="H30" i="37" s="1"/>
  <c r="D151" i="20"/>
  <c r="M390" i="20"/>
  <c r="L390" i="20"/>
  <c r="K390" i="20"/>
  <c r="J390" i="20"/>
  <c r="I390" i="20"/>
  <c r="H390" i="20"/>
  <c r="G390" i="20"/>
  <c r="F390" i="20"/>
  <c r="E390" i="20"/>
  <c r="D118" i="20"/>
  <c r="D125" i="20" s="1"/>
  <c r="M99" i="20"/>
  <c r="L99" i="20"/>
  <c r="K99" i="20"/>
  <c r="J99" i="20"/>
  <c r="I99" i="20"/>
  <c r="H99" i="20"/>
  <c r="G99" i="20"/>
  <c r="F99" i="20"/>
  <c r="E99" i="20"/>
  <c r="D99" i="20"/>
  <c r="K58" i="20"/>
  <c r="J58" i="20"/>
  <c r="I58" i="20"/>
  <c r="H58" i="20"/>
  <c r="M92" i="20"/>
  <c r="L92" i="20"/>
  <c r="K92" i="20"/>
  <c r="J92" i="20"/>
  <c r="I92" i="20"/>
  <c r="H92" i="20"/>
  <c r="D128" i="20" l="1"/>
  <c r="M46" i="20"/>
  <c r="L46" i="20"/>
  <c r="K46" i="20"/>
  <c r="J46" i="20"/>
  <c r="I46" i="20"/>
  <c r="G46" i="20"/>
  <c r="F46" i="20"/>
  <c r="E46" i="20"/>
  <c r="D46" i="20"/>
  <c r="C46" i="20"/>
  <c r="C32" i="20"/>
  <c r="M103" i="20"/>
  <c r="L103" i="20"/>
  <c r="K103" i="20"/>
  <c r="J103" i="20"/>
  <c r="I103" i="20"/>
  <c r="H103" i="20"/>
  <c r="G103" i="20"/>
  <c r="F103" i="20"/>
  <c r="E103" i="20"/>
  <c r="D103" i="20"/>
  <c r="M86" i="20"/>
  <c r="M375" i="20" s="1"/>
  <c r="L86" i="20"/>
  <c r="K86" i="20"/>
  <c r="J86" i="20"/>
  <c r="I86" i="20"/>
  <c r="H86" i="20"/>
  <c r="M76" i="20"/>
  <c r="L76" i="20"/>
  <c r="K76" i="20"/>
  <c r="J76" i="20"/>
  <c r="I76" i="20"/>
  <c r="H76" i="20"/>
  <c r="H379" i="20" l="1"/>
  <c r="H375" i="20"/>
  <c r="K379" i="20"/>
  <c r="K375" i="20"/>
  <c r="I379" i="20"/>
  <c r="I375" i="20"/>
  <c r="J379" i="20"/>
  <c r="J375" i="20"/>
  <c r="L379" i="20"/>
  <c r="L375" i="20"/>
  <c r="M379" i="20"/>
  <c r="M58" i="20"/>
  <c r="M77" i="20" s="1"/>
  <c r="D390" i="20"/>
  <c r="I39" i="37" s="1"/>
  <c r="C151" i="20"/>
  <c r="C137" i="20"/>
  <c r="D256" i="20"/>
  <c r="H77" i="20"/>
  <c r="J93" i="20"/>
  <c r="K93" i="20"/>
  <c r="J77" i="20"/>
  <c r="L93" i="20"/>
  <c r="K77" i="20"/>
  <c r="M93" i="20"/>
  <c r="L77" i="20"/>
  <c r="H93" i="20"/>
  <c r="I93" i="20"/>
  <c r="I77" i="20"/>
  <c r="M381" i="20" l="1"/>
  <c r="K381" i="20"/>
  <c r="J381" i="20"/>
  <c r="I381" i="20"/>
  <c r="L381" i="20"/>
  <c r="C242" i="20"/>
  <c r="C256" i="20"/>
  <c r="H381" i="20"/>
  <c r="H95" i="20"/>
  <c r="J95" i="20"/>
  <c r="M95" i="20"/>
  <c r="K95" i="20"/>
  <c r="L95" i="20"/>
  <c r="I95" i="20"/>
  <c r="K19" i="37" l="1"/>
  <c r="L19" i="37"/>
  <c r="J19" i="37"/>
  <c r="G20" i="20"/>
  <c r="E20" i="20"/>
  <c r="F20" i="20"/>
  <c r="D20" i="20"/>
  <c r="B31" i="36" s="1"/>
  <c r="D223" i="20"/>
  <c r="D230" i="20" l="1"/>
  <c r="I13" i="20"/>
  <c r="J13" i="20"/>
  <c r="K13" i="20"/>
  <c r="L13" i="20"/>
  <c r="M13" i="20"/>
  <c r="C13" i="20"/>
  <c r="F64" i="35" l="1"/>
  <c r="F65" i="35" s="1"/>
  <c r="G65" i="35" s="1"/>
  <c r="H65" i="35" s="1"/>
  <c r="I65" i="35" s="1"/>
  <c r="F73" i="35"/>
  <c r="F74" i="35" s="1"/>
  <c r="G74" i="35" s="1"/>
  <c r="H74" i="35" s="1"/>
  <c r="I74" i="35" s="1"/>
  <c r="C118" i="20"/>
  <c r="C223" i="20" s="1"/>
  <c r="C20" i="20"/>
  <c r="B30" i="36" s="1"/>
  <c r="M20" i="20"/>
  <c r="J20" i="20"/>
  <c r="L20" i="20"/>
  <c r="K20" i="20"/>
  <c r="I20" i="20"/>
  <c r="H20" i="37" l="1"/>
  <c r="I19" i="37"/>
  <c r="K74" i="35"/>
  <c r="M23" i="20"/>
  <c r="M389" i="20" s="1"/>
  <c r="C23" i="20"/>
  <c r="C128" i="20" s="1"/>
  <c r="C125" i="20"/>
  <c r="I23" i="20"/>
  <c r="K23" i="20"/>
  <c r="J23" i="20"/>
  <c r="J389" i="20" s="1"/>
  <c r="L23" i="20"/>
  <c r="L389" i="20" s="1"/>
  <c r="K65" i="35" l="1"/>
  <c r="M391" i="20"/>
  <c r="C390" i="20"/>
  <c r="H39" i="37" s="1"/>
  <c r="J391" i="20"/>
  <c r="L391" i="20"/>
  <c r="C230" i="20"/>
  <c r="H389" i="20"/>
  <c r="K389" i="20"/>
  <c r="I389" i="20"/>
  <c r="C389" i="20"/>
  <c r="H38" i="37" s="1"/>
  <c r="C233" i="20"/>
  <c r="I391" i="20" l="1"/>
  <c r="C391" i="20"/>
  <c r="K391" i="20"/>
  <c r="H391" i="20"/>
  <c r="B3" i="16" l="1"/>
  <c r="B3" i="1"/>
  <c r="B3" i="25"/>
  <c r="B3" i="20" l="1"/>
  <c r="F173" i="17"/>
  <c r="F173" i="8"/>
  <c r="F174" i="16"/>
  <c r="F174" i="1"/>
  <c r="D23" i="20" l="1"/>
  <c r="D389" i="20" s="1"/>
  <c r="I38" i="37"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439" i="27" s="1"/>
  <c r="E150" i="25"/>
  <c r="I438" i="27" s="1"/>
  <c r="E149" i="25"/>
  <c r="I437" i="27" s="1"/>
  <c r="E148" i="25"/>
  <c r="I436" i="27" s="1"/>
  <c r="E147" i="25"/>
  <c r="I435" i="27" s="1"/>
  <c r="E146" i="25"/>
  <c r="I434" i="27" s="1"/>
  <c r="E145" i="25"/>
  <c r="I433" i="27" s="1"/>
  <c r="E144" i="25"/>
  <c r="I432" i="27" s="1"/>
  <c r="E143" i="25"/>
  <c r="I431" i="27" s="1"/>
  <c r="E142" i="25"/>
  <c r="I430" i="27" s="1"/>
  <c r="E141" i="25"/>
  <c r="I429" i="27" s="1"/>
  <c r="E140" i="25"/>
  <c r="I428" i="27" s="1"/>
  <c r="E139" i="25"/>
  <c r="I427" i="27" s="1"/>
  <c r="E138" i="25"/>
  <c r="I426" i="27" s="1"/>
  <c r="E137" i="25"/>
  <c r="I425" i="27" s="1"/>
  <c r="E136" i="25"/>
  <c r="I424" i="27" s="1"/>
  <c r="E135" i="25"/>
  <c r="I423" i="27" s="1"/>
  <c r="E134" i="25"/>
  <c r="I422" i="27" s="1"/>
  <c r="E133" i="25"/>
  <c r="I421" i="27" s="1"/>
  <c r="E132" i="25"/>
  <c r="I420" i="27" s="1"/>
  <c r="E131" i="25"/>
  <c r="I419" i="27" s="1"/>
  <c r="E130" i="25"/>
  <c r="I418" i="27" s="1"/>
  <c r="E129" i="25"/>
  <c r="I417" i="27" s="1"/>
  <c r="E128" i="25"/>
  <c r="I416" i="27" s="1"/>
  <c r="E127" i="25"/>
  <c r="I415" i="27" s="1"/>
  <c r="E126" i="25"/>
  <c r="I414" i="27" s="1"/>
  <c r="E125" i="25"/>
  <c r="I413" i="27" s="1"/>
  <c r="E124" i="25"/>
  <c r="I412" i="27" s="1"/>
  <c r="E123" i="25"/>
  <c r="I411" i="27" s="1"/>
  <c r="E122" i="25"/>
  <c r="I410" i="27" s="1"/>
  <c r="E121" i="25"/>
  <c r="I409" i="27" s="1"/>
  <c r="E120" i="25"/>
  <c r="I408" i="27" s="1"/>
  <c r="E119" i="25"/>
  <c r="I407" i="27" s="1"/>
  <c r="E118" i="25"/>
  <c r="I406" i="27" s="1"/>
  <c r="E117" i="25"/>
  <c r="I405" i="27" s="1"/>
  <c r="E116" i="25"/>
  <c r="I404" i="27" s="1"/>
  <c r="E115" i="25"/>
  <c r="I403" i="27" s="1"/>
  <c r="E114" i="25"/>
  <c r="I402" i="27" s="1"/>
  <c r="E113" i="25"/>
  <c r="I401" i="27" s="1"/>
  <c r="E112" i="25"/>
  <c r="I400" i="27" s="1"/>
  <c r="E111" i="25"/>
  <c r="I399" i="27" s="1"/>
  <c r="E110" i="25"/>
  <c r="I398" i="27" s="1"/>
  <c r="E109" i="25"/>
  <c r="I397" i="27" s="1"/>
  <c r="E108" i="25"/>
  <c r="I396" i="27" s="1"/>
  <c r="E107" i="25"/>
  <c r="I395" i="27" s="1"/>
  <c r="E106" i="25"/>
  <c r="I394" i="27" s="1"/>
  <c r="E105" i="25"/>
  <c r="E104" i="25"/>
  <c r="I392" i="27" s="1"/>
  <c r="E103" i="25"/>
  <c r="I391" i="27" s="1"/>
  <c r="E102" i="25"/>
  <c r="I390" i="27" s="1"/>
  <c r="E101" i="25"/>
  <c r="I389" i="27" s="1"/>
  <c r="E100" i="25"/>
  <c r="I388" i="27" s="1"/>
  <c r="E99" i="25"/>
  <c r="I387" i="27" s="1"/>
  <c r="E98" i="25"/>
  <c r="I386" i="27" s="1"/>
  <c r="E97" i="25"/>
  <c r="I385" i="27" s="1"/>
  <c r="E96" i="25"/>
  <c r="I384" i="27" s="1"/>
  <c r="E95" i="25"/>
  <c r="I383" i="27" s="1"/>
  <c r="E94" i="25"/>
  <c r="I382" i="27" s="1"/>
  <c r="E93" i="25"/>
  <c r="I381" i="27" s="1"/>
  <c r="E92" i="25"/>
  <c r="I380" i="27" s="1"/>
  <c r="E91" i="25"/>
  <c r="I379" i="27" s="1"/>
  <c r="E90" i="25"/>
  <c r="I378" i="27" s="1"/>
  <c r="E89" i="25"/>
  <c r="I377" i="27" s="1"/>
  <c r="E88" i="25"/>
  <c r="I376" i="27" s="1"/>
  <c r="E87" i="25"/>
  <c r="I375" i="27" s="1"/>
  <c r="E86" i="25"/>
  <c r="I374" i="27" s="1"/>
  <c r="E85" i="25"/>
  <c r="I373" i="27" s="1"/>
  <c r="E84" i="25"/>
  <c r="I372" i="27" s="1"/>
  <c r="E83" i="25"/>
  <c r="I371" i="27" s="1"/>
  <c r="E82" i="25"/>
  <c r="I370" i="27" s="1"/>
  <c r="E81" i="25"/>
  <c r="I369" i="27" s="1"/>
  <c r="E80" i="25"/>
  <c r="I368" i="27" s="1"/>
  <c r="E79" i="25"/>
  <c r="I367" i="27" s="1"/>
  <c r="E78" i="25"/>
  <c r="I366" i="27" s="1"/>
  <c r="E77" i="25"/>
  <c r="I365" i="27" s="1"/>
  <c r="E76" i="25"/>
  <c r="I364" i="27" s="1"/>
  <c r="E75" i="25"/>
  <c r="I363" i="27" s="1"/>
  <c r="E74" i="25"/>
  <c r="I362" i="27" s="1"/>
  <c r="E73" i="25"/>
  <c r="E72" i="25"/>
  <c r="I360" i="27" s="1"/>
  <c r="E71" i="25"/>
  <c r="I359" i="27" s="1"/>
  <c r="E70" i="25"/>
  <c r="I358" i="27" s="1"/>
  <c r="E69" i="25"/>
  <c r="I357" i="27" s="1"/>
  <c r="E68" i="25"/>
  <c r="I356" i="27" s="1"/>
  <c r="E67" i="25"/>
  <c r="I355" i="27" s="1"/>
  <c r="E66" i="25"/>
  <c r="I354" i="27" s="1"/>
  <c r="E65" i="25"/>
  <c r="I353" i="27" s="1"/>
  <c r="E64" i="25"/>
  <c r="I352" i="27" s="1"/>
  <c r="E63" i="25"/>
  <c r="I351" i="27" s="1"/>
  <c r="E62" i="25"/>
  <c r="I350" i="27" s="1"/>
  <c r="E61" i="25"/>
  <c r="I349" i="27" s="1"/>
  <c r="E60" i="25"/>
  <c r="I348" i="27" s="1"/>
  <c r="E59" i="25"/>
  <c r="I347" i="27" s="1"/>
  <c r="E58" i="25"/>
  <c r="I346" i="27" s="1"/>
  <c r="E57" i="25"/>
  <c r="I345" i="27" s="1"/>
  <c r="E56" i="25"/>
  <c r="I344" i="27" s="1"/>
  <c r="E55" i="25"/>
  <c r="I343" i="27" s="1"/>
  <c r="E54" i="25"/>
  <c r="I342" i="27" s="1"/>
  <c r="E53" i="25"/>
  <c r="I341" i="27" s="1"/>
  <c r="E52" i="25"/>
  <c r="I340" i="27" s="1"/>
  <c r="E51" i="25"/>
  <c r="I339" i="27" s="1"/>
  <c r="E50" i="25"/>
  <c r="I338" i="27" s="1"/>
  <c r="E49" i="25"/>
  <c r="I337" i="27" s="1"/>
  <c r="E48" i="25"/>
  <c r="I336" i="27" s="1"/>
  <c r="E47" i="25"/>
  <c r="I335" i="27" s="1"/>
  <c r="E46" i="25"/>
  <c r="I334" i="27" s="1"/>
  <c r="E45" i="25"/>
  <c r="I333" i="27" s="1"/>
  <c r="E44" i="25"/>
  <c r="I332" i="27" s="1"/>
  <c r="E43" i="25"/>
  <c r="I331" i="27" s="1"/>
  <c r="E42" i="25"/>
  <c r="I330" i="27" s="1"/>
  <c r="E41" i="25"/>
  <c r="I329" i="27" s="1"/>
  <c r="E40" i="25"/>
  <c r="I328" i="27" s="1"/>
  <c r="E39" i="25"/>
  <c r="I327" i="27" s="1"/>
  <c r="E38" i="25"/>
  <c r="I326" i="27" s="1"/>
  <c r="E37" i="25"/>
  <c r="I325" i="27" s="1"/>
  <c r="E36" i="25"/>
  <c r="I324" i="27" s="1"/>
  <c r="E35" i="25"/>
  <c r="I323" i="27" s="1"/>
  <c r="E34" i="25"/>
  <c r="I322" i="27" s="1"/>
  <c r="E33" i="25"/>
  <c r="I321" i="27" s="1"/>
  <c r="E32" i="25"/>
  <c r="I320" i="27" s="1"/>
  <c r="E31" i="25"/>
  <c r="I319" i="27" s="1"/>
  <c r="E30" i="25"/>
  <c r="I318" i="27" s="1"/>
  <c r="E29" i="25"/>
  <c r="I317" i="27" s="1"/>
  <c r="E28" i="25"/>
  <c r="I316" i="27" s="1"/>
  <c r="E27" i="25"/>
  <c r="I315" i="27" s="1"/>
  <c r="E26" i="25"/>
  <c r="I314" i="27" s="1"/>
  <c r="E25" i="25"/>
  <c r="I313" i="27" s="1"/>
  <c r="E24" i="25"/>
  <c r="I312" i="27" s="1"/>
  <c r="E23" i="25"/>
  <c r="I311" i="27" s="1"/>
  <c r="E22" i="25"/>
  <c r="I310" i="27" s="1"/>
  <c r="E21" i="25"/>
  <c r="I309" i="27" s="1"/>
  <c r="E20" i="25"/>
  <c r="I308" i="27" s="1"/>
  <c r="E19" i="25"/>
  <c r="I307" i="27" s="1"/>
  <c r="E18" i="25"/>
  <c r="I306" i="27" s="1"/>
  <c r="E17" i="25"/>
  <c r="I305" i="27" s="1"/>
  <c r="E16" i="25"/>
  <c r="I304" i="27" s="1"/>
  <c r="E15" i="25"/>
  <c r="I303" i="27" s="1"/>
  <c r="E14" i="25"/>
  <c r="I302" i="27" s="1"/>
  <c r="E13" i="25"/>
  <c r="I301" i="27" s="1"/>
  <c r="E12" i="25"/>
  <c r="I3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95"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R31" i="8"/>
  <c r="I31" i="19" s="1"/>
  <c r="R31" i="17"/>
  <c r="J31" i="19" s="1"/>
  <c r="J183" i="19" s="1"/>
  <c r="L183" i="19" s="1"/>
  <c r="E32" i="19"/>
  <c r="F32" i="19"/>
  <c r="V33" i="1"/>
  <c r="G32" i="19" s="1"/>
  <c r="V33" i="16"/>
  <c r="H32" i="19" s="1"/>
  <c r="H184" i="19" s="1"/>
  <c r="R32" i="8"/>
  <c r="I32" i="19" s="1"/>
  <c r="R32" i="17"/>
  <c r="J32" i="19" s="1"/>
  <c r="J184" i="19" s="1"/>
  <c r="L184" i="19" s="1"/>
  <c r="E33" i="19"/>
  <c r="F33" i="19"/>
  <c r="V34" i="1"/>
  <c r="G33" i="19" s="1"/>
  <c r="V34" i="16"/>
  <c r="H33" i="19" s="1"/>
  <c r="H185" i="19" s="1"/>
  <c r="R33" i="8"/>
  <c r="I33" i="19" s="1"/>
  <c r="R33" i="17"/>
  <c r="J33" i="19" s="1"/>
  <c r="J185" i="19" s="1"/>
  <c r="L185" i="19" s="1"/>
  <c r="E34" i="19"/>
  <c r="F34" i="19"/>
  <c r="V35" i="1"/>
  <c r="G34" i="19" s="1"/>
  <c r="V35" i="16"/>
  <c r="H34" i="19" s="1"/>
  <c r="H186" i="19" s="1"/>
  <c r="R34" i="8"/>
  <c r="I34" i="19" s="1"/>
  <c r="R34" i="17"/>
  <c r="J34" i="19" s="1"/>
  <c r="J186" i="19" s="1"/>
  <c r="L186" i="19" s="1"/>
  <c r="E35" i="19"/>
  <c r="F35" i="19"/>
  <c r="V36" i="1"/>
  <c r="G35" i="19" s="1"/>
  <c r="V36" i="16"/>
  <c r="H35" i="19" s="1"/>
  <c r="H187" i="19" s="1"/>
  <c r="R35" i="8"/>
  <c r="I35" i="19" s="1"/>
  <c r="R35" i="17"/>
  <c r="J35" i="19" s="1"/>
  <c r="J187" i="19" s="1"/>
  <c r="L187" i="19" s="1"/>
  <c r="E36" i="19"/>
  <c r="F36" i="19"/>
  <c r="V37" i="1"/>
  <c r="G36" i="19" s="1"/>
  <c r="V37" i="16"/>
  <c r="H36" i="19" s="1"/>
  <c r="H188" i="19" s="1"/>
  <c r="R36" i="17"/>
  <c r="J36" i="19" s="1"/>
  <c r="J188" i="19" s="1"/>
  <c r="L188" i="19" s="1"/>
  <c r="E37" i="19"/>
  <c r="F37" i="19"/>
  <c r="V38" i="1"/>
  <c r="G37" i="19" s="1"/>
  <c r="V38" i="16"/>
  <c r="H37" i="19" s="1"/>
  <c r="H189" i="19" s="1"/>
  <c r="R37" i="8"/>
  <c r="I37" i="19" s="1"/>
  <c r="R37" i="17"/>
  <c r="J37" i="19" s="1"/>
  <c r="J189" i="19" s="1"/>
  <c r="L189" i="19" s="1"/>
  <c r="E38" i="19"/>
  <c r="F38" i="19"/>
  <c r="V39" i="16"/>
  <c r="H38" i="19" s="1"/>
  <c r="H190" i="19" s="1"/>
  <c r="R38" i="8"/>
  <c r="I38" i="19" s="1"/>
  <c r="R38" i="17"/>
  <c r="J38" i="19" s="1"/>
  <c r="J190" i="19" s="1"/>
  <c r="L190" i="19" s="1"/>
  <c r="E39" i="19"/>
  <c r="F39" i="19"/>
  <c r="V40" i="1"/>
  <c r="G39" i="19" s="1"/>
  <c r="V40" i="16"/>
  <c r="H39" i="19" s="1"/>
  <c r="H191" i="19" s="1"/>
  <c r="R39" i="8"/>
  <c r="I39" i="19" s="1"/>
  <c r="R39" i="17"/>
  <c r="J39" i="19" s="1"/>
  <c r="J191" i="19" s="1"/>
  <c r="L191" i="19" s="1"/>
  <c r="E40" i="19"/>
  <c r="F40" i="19"/>
  <c r="V41" i="1"/>
  <c r="G40" i="19" s="1"/>
  <c r="V41" i="16"/>
  <c r="H40" i="19" s="1"/>
  <c r="H192" i="19" s="1"/>
  <c r="R40" i="8"/>
  <c r="I40" i="19" s="1"/>
  <c r="R40" i="17"/>
  <c r="J40" i="19" s="1"/>
  <c r="J192" i="19" s="1"/>
  <c r="L192" i="19" s="1"/>
  <c r="E41" i="19"/>
  <c r="F41" i="19"/>
  <c r="V42" i="1"/>
  <c r="G41" i="19" s="1"/>
  <c r="V42" i="16"/>
  <c r="H41" i="19" s="1"/>
  <c r="H193" i="19" s="1"/>
  <c r="R41" i="8"/>
  <c r="I41" i="19" s="1"/>
  <c r="R41" i="17"/>
  <c r="J41" i="19" s="1"/>
  <c r="J193" i="19" s="1"/>
  <c r="L193" i="19" s="1"/>
  <c r="E42" i="19"/>
  <c r="F42" i="19"/>
  <c r="V43" i="1"/>
  <c r="G42" i="19" s="1"/>
  <c r="V43" i="16"/>
  <c r="H42" i="19" s="1"/>
  <c r="H194" i="19" s="1"/>
  <c r="R42" i="8"/>
  <c r="I42" i="19" s="1"/>
  <c r="R42" i="17"/>
  <c r="J42" i="19" s="1"/>
  <c r="J194" i="19" s="1"/>
  <c r="L194" i="19" s="1"/>
  <c r="E43" i="19"/>
  <c r="F43" i="19"/>
  <c r="V44" i="1"/>
  <c r="G43" i="19" s="1"/>
  <c r="V44" i="16"/>
  <c r="H43" i="19" s="1"/>
  <c r="H195" i="19" s="1"/>
  <c r="R43" i="8"/>
  <c r="I43" i="19" s="1"/>
  <c r="R43" i="17"/>
  <c r="J43" i="19" s="1"/>
  <c r="J195" i="19" s="1"/>
  <c r="L195" i="19" s="1"/>
  <c r="E44" i="19"/>
  <c r="F44" i="19"/>
  <c r="V45" i="1"/>
  <c r="G44" i="19" s="1"/>
  <c r="V45" i="16"/>
  <c r="H44" i="19" s="1"/>
  <c r="H196" i="19" s="1"/>
  <c r="R44" i="8"/>
  <c r="I44" i="19" s="1"/>
  <c r="R44" i="17"/>
  <c r="J44" i="19" s="1"/>
  <c r="J196" i="19" s="1"/>
  <c r="L196" i="19" s="1"/>
  <c r="E45" i="19"/>
  <c r="F45" i="19"/>
  <c r="V46" i="1"/>
  <c r="G45" i="19" s="1"/>
  <c r="V46" i="16"/>
  <c r="H45" i="19" s="1"/>
  <c r="H197" i="19" s="1"/>
  <c r="R45" i="8"/>
  <c r="I45" i="19" s="1"/>
  <c r="R45" i="17"/>
  <c r="J45" i="19" s="1"/>
  <c r="J197" i="19" s="1"/>
  <c r="L197" i="19" s="1"/>
  <c r="E46" i="19"/>
  <c r="F46" i="19"/>
  <c r="V47" i="1"/>
  <c r="G46" i="19" s="1"/>
  <c r="V47" i="16"/>
  <c r="H46" i="19" s="1"/>
  <c r="H198" i="19" s="1"/>
  <c r="R46" i="8"/>
  <c r="I46" i="19" s="1"/>
  <c r="R46" i="17"/>
  <c r="J46" i="19" s="1"/>
  <c r="J198" i="19" s="1"/>
  <c r="L198" i="19" s="1"/>
  <c r="E47" i="19"/>
  <c r="F47" i="19"/>
  <c r="V48" i="1"/>
  <c r="G47" i="19" s="1"/>
  <c r="V48" i="16"/>
  <c r="H47" i="19" s="1"/>
  <c r="H199" i="19" s="1"/>
  <c r="R47" i="8"/>
  <c r="I47" i="19" s="1"/>
  <c r="R47" i="17"/>
  <c r="J47" i="19" s="1"/>
  <c r="J199" i="19" s="1"/>
  <c r="L199" i="19" s="1"/>
  <c r="E48" i="19"/>
  <c r="F48" i="19"/>
  <c r="V49" i="1"/>
  <c r="G48" i="19" s="1"/>
  <c r="V49" i="16"/>
  <c r="H48" i="19" s="1"/>
  <c r="H200" i="19" s="1"/>
  <c r="R48" i="8"/>
  <c r="I48" i="19" s="1"/>
  <c r="R48" i="17"/>
  <c r="J48" i="19" s="1"/>
  <c r="J200" i="19" s="1"/>
  <c r="L200" i="19" s="1"/>
  <c r="E49" i="19"/>
  <c r="F49" i="19"/>
  <c r="V50" i="1"/>
  <c r="G49" i="19" s="1"/>
  <c r="V50" i="16"/>
  <c r="H49" i="19" s="1"/>
  <c r="H201" i="19" s="1"/>
  <c r="K201" i="19" s="1"/>
  <c r="R49" i="8"/>
  <c r="I49" i="19" s="1"/>
  <c r="R49" i="17"/>
  <c r="J49" i="19" s="1"/>
  <c r="J201" i="19" s="1"/>
  <c r="L201" i="19" s="1"/>
  <c r="E50" i="19"/>
  <c r="F50" i="19"/>
  <c r="V51" i="1"/>
  <c r="G50" i="19" s="1"/>
  <c r="V51" i="16"/>
  <c r="H50" i="19" s="1"/>
  <c r="H202" i="19" s="1"/>
  <c r="R50" i="8"/>
  <c r="I50" i="19" s="1"/>
  <c r="R50" i="17"/>
  <c r="J50" i="19" s="1"/>
  <c r="J202" i="19" s="1"/>
  <c r="L202" i="19" s="1"/>
  <c r="E51" i="19"/>
  <c r="F51" i="19"/>
  <c r="V52" i="1"/>
  <c r="G51" i="19" s="1"/>
  <c r="V52" i="16"/>
  <c r="H51" i="19" s="1"/>
  <c r="H203" i="19" s="1"/>
  <c r="R51" i="8"/>
  <c r="I51" i="19" s="1"/>
  <c r="R51" i="17"/>
  <c r="J51" i="19" s="1"/>
  <c r="J203" i="19" s="1"/>
  <c r="L203" i="19" s="1"/>
  <c r="E52" i="19"/>
  <c r="F52" i="19"/>
  <c r="V53" i="1"/>
  <c r="G52" i="19" s="1"/>
  <c r="V53" i="16"/>
  <c r="H52" i="19" s="1"/>
  <c r="H204" i="19" s="1"/>
  <c r="R52" i="8"/>
  <c r="I52" i="19" s="1"/>
  <c r="R52" i="17"/>
  <c r="J52" i="19" s="1"/>
  <c r="J204" i="19" s="1"/>
  <c r="L204" i="19" s="1"/>
  <c r="E53" i="19"/>
  <c r="F53" i="19"/>
  <c r="V54" i="1"/>
  <c r="G53" i="19" s="1"/>
  <c r="V54" i="16"/>
  <c r="H53" i="19" s="1"/>
  <c r="H205" i="19" s="1"/>
  <c r="R53" i="8"/>
  <c r="I53" i="19" s="1"/>
  <c r="R53" i="17"/>
  <c r="J53" i="19" s="1"/>
  <c r="J205" i="19" s="1"/>
  <c r="L205" i="19" s="1"/>
  <c r="E54" i="19"/>
  <c r="F54" i="19"/>
  <c r="V55" i="1"/>
  <c r="G54" i="19" s="1"/>
  <c r="V55" i="16"/>
  <c r="H54" i="19" s="1"/>
  <c r="H206" i="19" s="1"/>
  <c r="R54" i="8"/>
  <c r="I54" i="19" s="1"/>
  <c r="R54" i="17"/>
  <c r="J54" i="19" s="1"/>
  <c r="J206" i="19" s="1"/>
  <c r="L206" i="19" s="1"/>
  <c r="E55" i="19"/>
  <c r="F55" i="19"/>
  <c r="V56" i="1"/>
  <c r="G55" i="19" s="1"/>
  <c r="V56" i="16"/>
  <c r="H55" i="19" s="1"/>
  <c r="H207" i="19" s="1"/>
  <c r="R55" i="8"/>
  <c r="I55" i="19" s="1"/>
  <c r="R55" i="17"/>
  <c r="J55" i="19" s="1"/>
  <c r="J207" i="19" s="1"/>
  <c r="L207" i="19" s="1"/>
  <c r="E56" i="19"/>
  <c r="F56" i="19"/>
  <c r="V57" i="1"/>
  <c r="G56" i="19" s="1"/>
  <c r="V57" i="16"/>
  <c r="H56" i="19" s="1"/>
  <c r="H208" i="19" s="1"/>
  <c r="R56" i="8"/>
  <c r="I56" i="19" s="1"/>
  <c r="R56" i="17"/>
  <c r="J56" i="19" s="1"/>
  <c r="J208" i="19" s="1"/>
  <c r="L208" i="19" s="1"/>
  <c r="E57" i="19"/>
  <c r="F57" i="19"/>
  <c r="V58" i="1"/>
  <c r="G57" i="19" s="1"/>
  <c r="V58" i="16"/>
  <c r="H57" i="19" s="1"/>
  <c r="H209" i="19" s="1"/>
  <c r="R57" i="8"/>
  <c r="I57" i="19" s="1"/>
  <c r="R57" i="17"/>
  <c r="J57" i="19" s="1"/>
  <c r="J209" i="19" s="1"/>
  <c r="L209" i="19" s="1"/>
  <c r="E58" i="19"/>
  <c r="F58" i="19"/>
  <c r="V59" i="1"/>
  <c r="G58" i="19" s="1"/>
  <c r="V59" i="16"/>
  <c r="H58" i="19" s="1"/>
  <c r="H210" i="19" s="1"/>
  <c r="R58" i="8"/>
  <c r="I58" i="19" s="1"/>
  <c r="R58" i="17"/>
  <c r="J58" i="19" s="1"/>
  <c r="J210" i="19" s="1"/>
  <c r="L210" i="19" s="1"/>
  <c r="E59" i="19"/>
  <c r="F59" i="19"/>
  <c r="V60" i="1"/>
  <c r="G59" i="19" s="1"/>
  <c r="V60" i="16"/>
  <c r="H59" i="19" s="1"/>
  <c r="H211" i="19" s="1"/>
  <c r="R59" i="8"/>
  <c r="I59" i="19" s="1"/>
  <c r="R59" i="17"/>
  <c r="J59" i="19" s="1"/>
  <c r="J211" i="19" s="1"/>
  <c r="L211" i="19" s="1"/>
  <c r="E60" i="19"/>
  <c r="F60" i="19"/>
  <c r="V61" i="1"/>
  <c r="G60" i="19" s="1"/>
  <c r="V61" i="16"/>
  <c r="H60" i="19" s="1"/>
  <c r="H212" i="19" s="1"/>
  <c r="R60" i="8"/>
  <c r="I60" i="19"/>
  <c r="R60" i="17"/>
  <c r="J60" i="19" s="1"/>
  <c r="J212" i="19" s="1"/>
  <c r="L212" i="19" s="1"/>
  <c r="E61" i="19"/>
  <c r="F61" i="19"/>
  <c r="V62" i="1"/>
  <c r="G61" i="19" s="1"/>
  <c r="V62" i="16"/>
  <c r="H61" i="19" s="1"/>
  <c r="H213" i="19" s="1"/>
  <c r="R61" i="8"/>
  <c r="I61" i="19" s="1"/>
  <c r="R61" i="17"/>
  <c r="J61" i="19" s="1"/>
  <c r="J213" i="19" s="1"/>
  <c r="L213" i="19" s="1"/>
  <c r="E62" i="19"/>
  <c r="F62" i="19"/>
  <c r="V63" i="1"/>
  <c r="G62" i="19" s="1"/>
  <c r="V63" i="16"/>
  <c r="H62" i="19" s="1"/>
  <c r="H214" i="19" s="1"/>
  <c r="R62" i="8"/>
  <c r="I62" i="19" s="1"/>
  <c r="R62" i="17"/>
  <c r="J62" i="19" s="1"/>
  <c r="J214" i="19" s="1"/>
  <c r="L214" i="19" s="1"/>
  <c r="E63" i="19"/>
  <c r="F63" i="19"/>
  <c r="V64" i="1"/>
  <c r="G63" i="19" s="1"/>
  <c r="V64" i="16"/>
  <c r="H63" i="19" s="1"/>
  <c r="H215" i="19" s="1"/>
  <c r="R63" i="8"/>
  <c r="I63" i="19" s="1"/>
  <c r="R63" i="17"/>
  <c r="J63" i="19" s="1"/>
  <c r="J215" i="19" s="1"/>
  <c r="L215" i="19" s="1"/>
  <c r="E64" i="19"/>
  <c r="F64" i="19"/>
  <c r="V65" i="1"/>
  <c r="G64" i="19" s="1"/>
  <c r="V65" i="16"/>
  <c r="H64" i="19" s="1"/>
  <c r="H216" i="19" s="1"/>
  <c r="R64" i="8"/>
  <c r="I64" i="19" s="1"/>
  <c r="R64" i="17"/>
  <c r="J64" i="19" s="1"/>
  <c r="J216" i="19" s="1"/>
  <c r="L216" i="19" s="1"/>
  <c r="E65" i="19"/>
  <c r="F65" i="19"/>
  <c r="V66" i="1"/>
  <c r="G65" i="19" s="1"/>
  <c r="V66" i="16"/>
  <c r="H65" i="19" s="1"/>
  <c r="H217" i="19" s="1"/>
  <c r="R65" i="8"/>
  <c r="I65" i="19" s="1"/>
  <c r="R65" i="17"/>
  <c r="J65" i="19" s="1"/>
  <c r="J217" i="19" s="1"/>
  <c r="L217" i="19" s="1"/>
  <c r="E66" i="19"/>
  <c r="F66" i="19"/>
  <c r="V67" i="1"/>
  <c r="G66" i="19" s="1"/>
  <c r="V67" i="16"/>
  <c r="H66" i="19" s="1"/>
  <c r="H218" i="19" s="1"/>
  <c r="R66" i="8"/>
  <c r="I66" i="19" s="1"/>
  <c r="R66" i="17"/>
  <c r="J66" i="19" s="1"/>
  <c r="J218" i="19" s="1"/>
  <c r="L218" i="19" s="1"/>
  <c r="E67" i="19"/>
  <c r="F67" i="19"/>
  <c r="V68" i="1"/>
  <c r="G67" i="19" s="1"/>
  <c r="V68" i="16"/>
  <c r="H67" i="19" s="1"/>
  <c r="H219" i="19" s="1"/>
  <c r="R67" i="8"/>
  <c r="I67" i="19" s="1"/>
  <c r="R67" i="17"/>
  <c r="J67" i="19" s="1"/>
  <c r="J219" i="19" s="1"/>
  <c r="L219" i="19" s="1"/>
  <c r="E68" i="19"/>
  <c r="F68" i="19"/>
  <c r="V69" i="1"/>
  <c r="G68" i="19" s="1"/>
  <c r="V69" i="16"/>
  <c r="H68" i="19" s="1"/>
  <c r="H220" i="19" s="1"/>
  <c r="R68" i="8"/>
  <c r="I68" i="19" s="1"/>
  <c r="R68" i="17"/>
  <c r="J68" i="19" s="1"/>
  <c r="J220" i="19" s="1"/>
  <c r="L220" i="19" s="1"/>
  <c r="E69" i="19"/>
  <c r="F69" i="19"/>
  <c r="V70" i="1"/>
  <c r="G69" i="19" s="1"/>
  <c r="V70" i="16"/>
  <c r="H69" i="19" s="1"/>
  <c r="H221" i="19" s="1"/>
  <c r="R69" i="8"/>
  <c r="I69" i="19" s="1"/>
  <c r="R69" i="17"/>
  <c r="J69" i="19" s="1"/>
  <c r="J221" i="19" s="1"/>
  <c r="L221" i="19" s="1"/>
  <c r="E70" i="19"/>
  <c r="F70" i="19"/>
  <c r="V71" i="1"/>
  <c r="G70" i="19" s="1"/>
  <c r="V71" i="16"/>
  <c r="H70" i="19" s="1"/>
  <c r="H222" i="19" s="1"/>
  <c r="R70" i="8"/>
  <c r="I70" i="19" s="1"/>
  <c r="R70" i="17"/>
  <c r="J70" i="19" s="1"/>
  <c r="J222" i="19" s="1"/>
  <c r="L222" i="19" s="1"/>
  <c r="E71" i="19"/>
  <c r="F71" i="19"/>
  <c r="V72" i="1"/>
  <c r="G71" i="19" s="1"/>
  <c r="V72" i="16"/>
  <c r="H71" i="19" s="1"/>
  <c r="H223" i="19" s="1"/>
  <c r="R71" i="8"/>
  <c r="I71" i="19" s="1"/>
  <c r="R71" i="17"/>
  <c r="J71" i="19" s="1"/>
  <c r="J223" i="19" s="1"/>
  <c r="L223" i="19" s="1"/>
  <c r="E72" i="19"/>
  <c r="F72" i="19"/>
  <c r="V73" i="1"/>
  <c r="G72" i="19" s="1"/>
  <c r="V73" i="16"/>
  <c r="H72" i="19" s="1"/>
  <c r="H224" i="19" s="1"/>
  <c r="R72" i="8"/>
  <c r="I72" i="19" s="1"/>
  <c r="R72" i="17"/>
  <c r="J72" i="19" s="1"/>
  <c r="J224" i="19" s="1"/>
  <c r="L224" i="19" s="1"/>
  <c r="E73" i="19"/>
  <c r="F73" i="19"/>
  <c r="V74" i="1"/>
  <c r="G73" i="19"/>
  <c r="V74" i="16"/>
  <c r="H73" i="19" s="1"/>
  <c r="H225" i="19" s="1"/>
  <c r="R73" i="8"/>
  <c r="I73" i="19" s="1"/>
  <c r="R73" i="17"/>
  <c r="J73" i="19" s="1"/>
  <c r="J225" i="19" s="1"/>
  <c r="L225" i="19" s="1"/>
  <c r="E74" i="19"/>
  <c r="F74" i="19"/>
  <c r="V75" i="1"/>
  <c r="G74" i="19" s="1"/>
  <c r="V75" i="16"/>
  <c r="H74" i="19" s="1"/>
  <c r="H226" i="19" s="1"/>
  <c r="R74" i="8"/>
  <c r="I74" i="19" s="1"/>
  <c r="R74" i="17"/>
  <c r="J74" i="19" s="1"/>
  <c r="J226" i="19" s="1"/>
  <c r="L226" i="19" s="1"/>
  <c r="E75" i="19"/>
  <c r="F75" i="19"/>
  <c r="V76" i="1"/>
  <c r="G75" i="19" s="1"/>
  <c r="V76" i="16"/>
  <c r="H75" i="19" s="1"/>
  <c r="H227" i="19" s="1"/>
  <c r="R75" i="8"/>
  <c r="I75" i="19" s="1"/>
  <c r="R75" i="17"/>
  <c r="J75" i="19" s="1"/>
  <c r="J227" i="19" s="1"/>
  <c r="L227" i="19" s="1"/>
  <c r="E76" i="19"/>
  <c r="F76" i="19"/>
  <c r="V77" i="1"/>
  <c r="G76" i="19" s="1"/>
  <c r="V77" i="16"/>
  <c r="H76" i="19" s="1"/>
  <c r="H228" i="19" s="1"/>
  <c r="R76" i="8"/>
  <c r="I76" i="19" s="1"/>
  <c r="R76" i="17"/>
  <c r="J76" i="19" s="1"/>
  <c r="J228" i="19" s="1"/>
  <c r="L228" i="19" s="1"/>
  <c r="E77" i="19"/>
  <c r="F77" i="19"/>
  <c r="V78" i="1"/>
  <c r="G77" i="19" s="1"/>
  <c r="V78" i="16"/>
  <c r="H77" i="19" s="1"/>
  <c r="H229" i="19" s="1"/>
  <c r="R77" i="8"/>
  <c r="I77" i="19" s="1"/>
  <c r="R77" i="17"/>
  <c r="J77" i="19" s="1"/>
  <c r="J229" i="19" s="1"/>
  <c r="L229" i="19" s="1"/>
  <c r="E78" i="19"/>
  <c r="F78" i="19"/>
  <c r="V79" i="1"/>
  <c r="G78" i="19" s="1"/>
  <c r="V79" i="16"/>
  <c r="H78" i="19" s="1"/>
  <c r="H230" i="19" s="1"/>
  <c r="R78" i="8"/>
  <c r="I78" i="19" s="1"/>
  <c r="R78" i="17"/>
  <c r="J78" i="19" s="1"/>
  <c r="J230" i="19" s="1"/>
  <c r="L230" i="19" s="1"/>
  <c r="E79" i="19"/>
  <c r="F79" i="19"/>
  <c r="V80" i="1"/>
  <c r="G79" i="19" s="1"/>
  <c r="V80" i="16"/>
  <c r="H79" i="19" s="1"/>
  <c r="H231" i="19" s="1"/>
  <c r="R79" i="8"/>
  <c r="I79" i="19" s="1"/>
  <c r="R79" i="17"/>
  <c r="J79" i="19" s="1"/>
  <c r="J231" i="19" s="1"/>
  <c r="L231" i="19" s="1"/>
  <c r="E80" i="19"/>
  <c r="F80" i="19"/>
  <c r="V81" i="1"/>
  <c r="G80" i="19" s="1"/>
  <c r="V81" i="16"/>
  <c r="H80" i="19" s="1"/>
  <c r="H232" i="19" s="1"/>
  <c r="R80" i="8"/>
  <c r="I80" i="19" s="1"/>
  <c r="R80" i="17"/>
  <c r="J80" i="19" s="1"/>
  <c r="J232" i="19" s="1"/>
  <c r="L232" i="19" s="1"/>
  <c r="E81" i="19"/>
  <c r="F81" i="19"/>
  <c r="V82" i="1"/>
  <c r="G81" i="19" s="1"/>
  <c r="V82" i="16"/>
  <c r="H81" i="19" s="1"/>
  <c r="H233" i="19" s="1"/>
  <c r="R81" i="8"/>
  <c r="I81" i="19" s="1"/>
  <c r="R81" i="17"/>
  <c r="J81" i="19" s="1"/>
  <c r="J233" i="19" s="1"/>
  <c r="L233" i="19" s="1"/>
  <c r="E82" i="19"/>
  <c r="F82" i="19"/>
  <c r="V83" i="1"/>
  <c r="G82" i="19" s="1"/>
  <c r="V83" i="16"/>
  <c r="H82" i="19" s="1"/>
  <c r="H234" i="19" s="1"/>
  <c r="R82" i="8"/>
  <c r="I82" i="19" s="1"/>
  <c r="R82" i="17"/>
  <c r="J82" i="19" s="1"/>
  <c r="J234" i="19" s="1"/>
  <c r="L234" i="19" s="1"/>
  <c r="E83" i="19"/>
  <c r="F83" i="19"/>
  <c r="V84" i="1"/>
  <c r="G83" i="19" s="1"/>
  <c r="V84" i="16"/>
  <c r="H83" i="19" s="1"/>
  <c r="H235" i="19" s="1"/>
  <c r="R83" i="8"/>
  <c r="I83" i="19" s="1"/>
  <c r="R83" i="17"/>
  <c r="J83" i="19" s="1"/>
  <c r="J235" i="19" s="1"/>
  <c r="L235" i="19" s="1"/>
  <c r="E84" i="19"/>
  <c r="F84" i="19"/>
  <c r="V85" i="1"/>
  <c r="G84" i="19" s="1"/>
  <c r="V85" i="16"/>
  <c r="H84" i="19" s="1"/>
  <c r="H236" i="19" s="1"/>
  <c r="R84" i="8"/>
  <c r="I84" i="19" s="1"/>
  <c r="R84" i="17"/>
  <c r="J84" i="19" s="1"/>
  <c r="J236" i="19" s="1"/>
  <c r="L236" i="19" s="1"/>
  <c r="E85" i="19"/>
  <c r="F85" i="19"/>
  <c r="V86" i="1"/>
  <c r="G85" i="19" s="1"/>
  <c r="V86" i="16"/>
  <c r="H85" i="19" s="1"/>
  <c r="H237" i="19" s="1"/>
  <c r="R85" i="8"/>
  <c r="I85" i="19" s="1"/>
  <c r="R85" i="17"/>
  <c r="J85" i="19" s="1"/>
  <c r="J237" i="19" s="1"/>
  <c r="L237" i="19" s="1"/>
  <c r="E86" i="19"/>
  <c r="F86" i="19"/>
  <c r="V87" i="1"/>
  <c r="G86" i="19" s="1"/>
  <c r="V87" i="16"/>
  <c r="H86" i="19" s="1"/>
  <c r="H238" i="19" s="1"/>
  <c r="R86" i="8"/>
  <c r="I86" i="19" s="1"/>
  <c r="R86" i="17"/>
  <c r="J86" i="19" s="1"/>
  <c r="J238" i="19" s="1"/>
  <c r="L238" i="19" s="1"/>
  <c r="E87" i="19"/>
  <c r="F87" i="19"/>
  <c r="V88" i="1"/>
  <c r="G87" i="19" s="1"/>
  <c r="V88" i="16"/>
  <c r="H87" i="19" s="1"/>
  <c r="H239" i="19" s="1"/>
  <c r="R87" i="8"/>
  <c r="I87" i="19" s="1"/>
  <c r="R87" i="17"/>
  <c r="J87" i="19" s="1"/>
  <c r="J239" i="19" s="1"/>
  <c r="L239" i="19" s="1"/>
  <c r="E88" i="19"/>
  <c r="F88" i="19"/>
  <c r="V89" i="1"/>
  <c r="G88" i="19" s="1"/>
  <c r="V89" i="16"/>
  <c r="H88" i="19" s="1"/>
  <c r="H240" i="19" s="1"/>
  <c r="R88" i="8"/>
  <c r="I88" i="19" s="1"/>
  <c r="R88" i="17"/>
  <c r="J88" i="19" s="1"/>
  <c r="J240" i="19" s="1"/>
  <c r="L240" i="19" s="1"/>
  <c r="E89" i="19"/>
  <c r="F89" i="19"/>
  <c r="V90" i="1"/>
  <c r="G89" i="19" s="1"/>
  <c r="V90" i="16"/>
  <c r="H89" i="19" s="1"/>
  <c r="H241" i="19" s="1"/>
  <c r="R89" i="8"/>
  <c r="I89" i="19" s="1"/>
  <c r="R89" i="17"/>
  <c r="J89" i="19" s="1"/>
  <c r="J241" i="19" s="1"/>
  <c r="L241" i="19" s="1"/>
  <c r="E90" i="19"/>
  <c r="F90" i="19"/>
  <c r="V91" i="1"/>
  <c r="G90" i="19" s="1"/>
  <c r="V91" i="16"/>
  <c r="H90" i="19" s="1"/>
  <c r="H242" i="19" s="1"/>
  <c r="R90" i="8"/>
  <c r="I90" i="19" s="1"/>
  <c r="R90" i="17"/>
  <c r="J90" i="19" s="1"/>
  <c r="J242" i="19" s="1"/>
  <c r="L242" i="19" s="1"/>
  <c r="E91" i="19"/>
  <c r="F91" i="19"/>
  <c r="V92" i="1"/>
  <c r="G91" i="19" s="1"/>
  <c r="V92" i="16"/>
  <c r="H91" i="19" s="1"/>
  <c r="H243" i="19" s="1"/>
  <c r="R91" i="8"/>
  <c r="I91" i="19" s="1"/>
  <c r="R91" i="17"/>
  <c r="J91" i="19" s="1"/>
  <c r="J243" i="19" s="1"/>
  <c r="L243" i="19" s="1"/>
  <c r="E92" i="19"/>
  <c r="F92" i="19"/>
  <c r="V93" i="1"/>
  <c r="G92" i="19" s="1"/>
  <c r="V93" i="16"/>
  <c r="H92" i="19" s="1"/>
  <c r="H244" i="19" s="1"/>
  <c r="R92" i="8"/>
  <c r="I92" i="19" s="1"/>
  <c r="R92" i="17"/>
  <c r="J92" i="19" s="1"/>
  <c r="J244" i="19" s="1"/>
  <c r="L244" i="19" s="1"/>
  <c r="E93" i="19"/>
  <c r="F93" i="19"/>
  <c r="V94" i="1"/>
  <c r="G93" i="19" s="1"/>
  <c r="V94" i="16"/>
  <c r="H93" i="19" s="1"/>
  <c r="H245" i="19" s="1"/>
  <c r="R93" i="8"/>
  <c r="I93" i="19" s="1"/>
  <c r="R93" i="17"/>
  <c r="J93" i="19" s="1"/>
  <c r="J245" i="19" s="1"/>
  <c r="L245" i="19" s="1"/>
  <c r="E94" i="19"/>
  <c r="F94" i="19"/>
  <c r="V95" i="1"/>
  <c r="G94" i="19" s="1"/>
  <c r="V95" i="16"/>
  <c r="H94" i="19" s="1"/>
  <c r="H246" i="19" s="1"/>
  <c r="R94" i="8"/>
  <c r="I94" i="19" s="1"/>
  <c r="R94" i="17"/>
  <c r="J94" i="19" s="1"/>
  <c r="J246" i="19" s="1"/>
  <c r="L246" i="19" s="1"/>
  <c r="E95" i="19"/>
  <c r="F95" i="19"/>
  <c r="V96" i="1"/>
  <c r="G95" i="19" s="1"/>
  <c r="V96" i="16"/>
  <c r="H95" i="19" s="1"/>
  <c r="H247" i="19" s="1"/>
  <c r="R95" i="8"/>
  <c r="I95" i="19" s="1"/>
  <c r="R95" i="17"/>
  <c r="J95" i="19" s="1"/>
  <c r="J247" i="19" s="1"/>
  <c r="L247" i="19" s="1"/>
  <c r="E96" i="19"/>
  <c r="F96" i="19"/>
  <c r="V97" i="1"/>
  <c r="G96" i="19" s="1"/>
  <c r="V97" i="16"/>
  <c r="H96" i="19" s="1"/>
  <c r="H248" i="19" s="1"/>
  <c r="R96" i="8"/>
  <c r="I96" i="19" s="1"/>
  <c r="R96" i="17"/>
  <c r="J96" i="19" s="1"/>
  <c r="J248" i="19" s="1"/>
  <c r="L248" i="19" s="1"/>
  <c r="E97" i="19"/>
  <c r="F97" i="19"/>
  <c r="V98" i="1"/>
  <c r="G97" i="19" s="1"/>
  <c r="V98" i="16"/>
  <c r="H97" i="19" s="1"/>
  <c r="H249" i="19" s="1"/>
  <c r="R97" i="8"/>
  <c r="I97" i="19" s="1"/>
  <c r="R97" i="17"/>
  <c r="J97" i="19" s="1"/>
  <c r="J249" i="19" s="1"/>
  <c r="L249" i="19" s="1"/>
  <c r="E98" i="19"/>
  <c r="F98" i="19"/>
  <c r="V99" i="1"/>
  <c r="G98" i="19" s="1"/>
  <c r="V99" i="16"/>
  <c r="H98" i="19" s="1"/>
  <c r="H250" i="19" s="1"/>
  <c r="R98" i="8"/>
  <c r="I98" i="19" s="1"/>
  <c r="R98" i="17"/>
  <c r="J98" i="19" s="1"/>
  <c r="J250" i="19" s="1"/>
  <c r="L250" i="19" s="1"/>
  <c r="E99" i="19"/>
  <c r="F99" i="19"/>
  <c r="V100" i="1"/>
  <c r="G99" i="19" s="1"/>
  <c r="V100" i="16"/>
  <c r="H99" i="19" s="1"/>
  <c r="H251" i="19" s="1"/>
  <c r="R99" i="8"/>
  <c r="I99" i="19" s="1"/>
  <c r="R99" i="17"/>
  <c r="J99" i="19" s="1"/>
  <c r="J251" i="19" s="1"/>
  <c r="L251" i="19" s="1"/>
  <c r="E100" i="19"/>
  <c r="F100" i="19"/>
  <c r="V101" i="1"/>
  <c r="G100" i="19" s="1"/>
  <c r="V101" i="16"/>
  <c r="H100" i="19" s="1"/>
  <c r="H252" i="19" s="1"/>
  <c r="R100" i="8"/>
  <c r="I100" i="19" s="1"/>
  <c r="R100" i="17"/>
  <c r="J100" i="19" s="1"/>
  <c r="J252" i="19" s="1"/>
  <c r="L252" i="19" s="1"/>
  <c r="E101" i="19"/>
  <c r="F101" i="19"/>
  <c r="V102" i="1"/>
  <c r="G101" i="19" s="1"/>
  <c r="V102" i="16"/>
  <c r="H101" i="19" s="1"/>
  <c r="H253" i="19" s="1"/>
  <c r="R101" i="8"/>
  <c r="I101" i="19" s="1"/>
  <c r="R101" i="17"/>
  <c r="J101" i="19" s="1"/>
  <c r="J253" i="19" s="1"/>
  <c r="L253" i="19" s="1"/>
  <c r="E102" i="19"/>
  <c r="F102" i="19"/>
  <c r="V103" i="1"/>
  <c r="G102" i="19" s="1"/>
  <c r="V103" i="16"/>
  <c r="H102" i="19" s="1"/>
  <c r="H254" i="19" s="1"/>
  <c r="R102" i="8"/>
  <c r="I102" i="19" s="1"/>
  <c r="R102" i="17"/>
  <c r="J102" i="19" s="1"/>
  <c r="J254" i="19" s="1"/>
  <c r="L254" i="19" s="1"/>
  <c r="E103" i="19"/>
  <c r="F103" i="19"/>
  <c r="V104" i="1"/>
  <c r="G103" i="19" s="1"/>
  <c r="V104" i="16"/>
  <c r="H103" i="19" s="1"/>
  <c r="H255" i="19" s="1"/>
  <c r="R103" i="8"/>
  <c r="I103" i="19" s="1"/>
  <c r="R103" i="17"/>
  <c r="J103" i="19" s="1"/>
  <c r="J255" i="19" s="1"/>
  <c r="L255" i="19" s="1"/>
  <c r="E104" i="19"/>
  <c r="F104" i="19"/>
  <c r="V105" i="1"/>
  <c r="G104" i="19" s="1"/>
  <c r="V105" i="16"/>
  <c r="H104" i="19" s="1"/>
  <c r="H256" i="19" s="1"/>
  <c r="R104" i="8"/>
  <c r="I104" i="19" s="1"/>
  <c r="R104" i="17"/>
  <c r="J104" i="19" s="1"/>
  <c r="J256" i="19" s="1"/>
  <c r="L256" i="19" s="1"/>
  <c r="E105" i="19"/>
  <c r="F105" i="19"/>
  <c r="V106" i="1"/>
  <c r="G105" i="19" s="1"/>
  <c r="V106" i="16"/>
  <c r="H105" i="19" s="1"/>
  <c r="H257" i="19" s="1"/>
  <c r="R105" i="8"/>
  <c r="I105" i="19" s="1"/>
  <c r="R105" i="17"/>
  <c r="J105" i="19" s="1"/>
  <c r="J257" i="19" s="1"/>
  <c r="L257" i="19" s="1"/>
  <c r="E106" i="19"/>
  <c r="F106" i="19"/>
  <c r="V107" i="1"/>
  <c r="G106" i="19" s="1"/>
  <c r="V107" i="16"/>
  <c r="H106" i="19" s="1"/>
  <c r="H258" i="19" s="1"/>
  <c r="R106" i="8"/>
  <c r="I106" i="19" s="1"/>
  <c r="R106" i="17"/>
  <c r="J106" i="19" s="1"/>
  <c r="J258" i="19" s="1"/>
  <c r="L258" i="19" s="1"/>
  <c r="E107" i="19"/>
  <c r="F107" i="19"/>
  <c r="V108" i="1"/>
  <c r="G107" i="19" s="1"/>
  <c r="V108" i="16"/>
  <c r="H107" i="19" s="1"/>
  <c r="H259" i="19" s="1"/>
  <c r="R107" i="8"/>
  <c r="I107" i="19"/>
  <c r="R107" i="17"/>
  <c r="J107" i="19" s="1"/>
  <c r="J259" i="19" s="1"/>
  <c r="L259" i="19" s="1"/>
  <c r="E108" i="19"/>
  <c r="F108" i="19"/>
  <c r="V109" i="1"/>
  <c r="G108" i="19" s="1"/>
  <c r="V109" i="16"/>
  <c r="H108" i="19" s="1"/>
  <c r="H260" i="19" s="1"/>
  <c r="R108" i="8"/>
  <c r="I108" i="19" s="1"/>
  <c r="R108" i="17"/>
  <c r="J108" i="19" s="1"/>
  <c r="J260" i="19" s="1"/>
  <c r="L260" i="19" s="1"/>
  <c r="E109" i="19"/>
  <c r="F109" i="19"/>
  <c r="V110" i="1"/>
  <c r="G109" i="19" s="1"/>
  <c r="V110" i="16"/>
  <c r="H109" i="19" s="1"/>
  <c r="H261" i="19" s="1"/>
  <c r="R109" i="8"/>
  <c r="I109" i="19" s="1"/>
  <c r="R109" i="17"/>
  <c r="J109" i="19" s="1"/>
  <c r="J261" i="19" s="1"/>
  <c r="L261" i="19" s="1"/>
  <c r="E110" i="19"/>
  <c r="F110" i="19"/>
  <c r="V111" i="1"/>
  <c r="G110" i="19" s="1"/>
  <c r="V111" i="16"/>
  <c r="H110" i="19" s="1"/>
  <c r="H262" i="19" s="1"/>
  <c r="R110" i="8"/>
  <c r="I110" i="19" s="1"/>
  <c r="R110" i="17"/>
  <c r="J110" i="19" s="1"/>
  <c r="J262" i="19" s="1"/>
  <c r="L262" i="19" s="1"/>
  <c r="E111" i="19"/>
  <c r="F111" i="19"/>
  <c r="V112" i="1"/>
  <c r="G111" i="19" s="1"/>
  <c r="V112" i="16"/>
  <c r="H111" i="19" s="1"/>
  <c r="H263" i="19" s="1"/>
  <c r="R111" i="8"/>
  <c r="I111" i="19" s="1"/>
  <c r="R111" i="17"/>
  <c r="J111" i="19"/>
  <c r="J263" i="19" s="1"/>
  <c r="L263" i="19" s="1"/>
  <c r="E112" i="19"/>
  <c r="F112" i="19"/>
  <c r="V113" i="1"/>
  <c r="G112" i="19" s="1"/>
  <c r="V113" i="16"/>
  <c r="H112" i="19" s="1"/>
  <c r="H264" i="19" s="1"/>
  <c r="R112" i="8"/>
  <c r="I112" i="19" s="1"/>
  <c r="R112" i="17"/>
  <c r="J112" i="19" s="1"/>
  <c r="J264" i="19" s="1"/>
  <c r="L264" i="19" s="1"/>
  <c r="E113" i="19"/>
  <c r="F113" i="19"/>
  <c r="V114" i="1"/>
  <c r="G113" i="19" s="1"/>
  <c r="V114" i="16"/>
  <c r="H113" i="19" s="1"/>
  <c r="H265" i="19" s="1"/>
  <c r="R113" i="8"/>
  <c r="I113" i="19" s="1"/>
  <c r="R113" i="17"/>
  <c r="J113" i="19" s="1"/>
  <c r="J265" i="19" s="1"/>
  <c r="L265" i="19" s="1"/>
  <c r="E114" i="19"/>
  <c r="F114" i="19"/>
  <c r="V115" i="1"/>
  <c r="G114" i="19" s="1"/>
  <c r="V115" i="16"/>
  <c r="H114" i="19" s="1"/>
  <c r="H266" i="19" s="1"/>
  <c r="R114" i="8"/>
  <c r="I114" i="19" s="1"/>
  <c r="R114" i="17"/>
  <c r="J114" i="19" s="1"/>
  <c r="J266" i="19" s="1"/>
  <c r="L266" i="19" s="1"/>
  <c r="E115" i="19"/>
  <c r="F115" i="19"/>
  <c r="V116" i="1"/>
  <c r="G115" i="19" s="1"/>
  <c r="V116" i="16"/>
  <c r="H115" i="19" s="1"/>
  <c r="H267" i="19" s="1"/>
  <c r="K267" i="19" s="1"/>
  <c r="R115" i="8"/>
  <c r="I115" i="19" s="1"/>
  <c r="R115" i="17"/>
  <c r="J115" i="19" s="1"/>
  <c r="J267" i="19" s="1"/>
  <c r="L267" i="19" s="1"/>
  <c r="E116" i="19"/>
  <c r="F116" i="19"/>
  <c r="V117" i="1"/>
  <c r="G116" i="19" s="1"/>
  <c r="V117" i="16"/>
  <c r="H116" i="19" s="1"/>
  <c r="H268" i="19" s="1"/>
  <c r="R116" i="8"/>
  <c r="I116" i="19"/>
  <c r="R116" i="17"/>
  <c r="J116" i="19" s="1"/>
  <c r="J268" i="19" s="1"/>
  <c r="L268" i="19" s="1"/>
  <c r="E117" i="19"/>
  <c r="F117" i="19"/>
  <c r="V118" i="1"/>
  <c r="G117" i="19" s="1"/>
  <c r="V118" i="16"/>
  <c r="H117" i="19" s="1"/>
  <c r="H269" i="19" s="1"/>
  <c r="R117" i="8"/>
  <c r="I117" i="19" s="1"/>
  <c r="R117" i="17"/>
  <c r="J117" i="19" s="1"/>
  <c r="J269" i="19" s="1"/>
  <c r="L269" i="19" s="1"/>
  <c r="E118" i="19"/>
  <c r="F118" i="19"/>
  <c r="V119" i="1"/>
  <c r="G118" i="19" s="1"/>
  <c r="V119" i="16"/>
  <c r="H118" i="19" s="1"/>
  <c r="H270" i="19" s="1"/>
  <c r="R118" i="8"/>
  <c r="I118" i="19" s="1"/>
  <c r="R118" i="17"/>
  <c r="J118" i="19" s="1"/>
  <c r="J270" i="19" s="1"/>
  <c r="L270" i="19" s="1"/>
  <c r="E119" i="19"/>
  <c r="F119" i="19"/>
  <c r="V120" i="1"/>
  <c r="G119" i="19" s="1"/>
  <c r="V120" i="16"/>
  <c r="H119" i="19" s="1"/>
  <c r="H271" i="19" s="1"/>
  <c r="R119" i="8"/>
  <c r="I119" i="19" s="1"/>
  <c r="R119" i="17"/>
  <c r="J119" i="19" s="1"/>
  <c r="J271" i="19" s="1"/>
  <c r="L271" i="19" s="1"/>
  <c r="E120" i="19"/>
  <c r="F120" i="19"/>
  <c r="V121" i="1"/>
  <c r="G120" i="19" s="1"/>
  <c r="V121" i="16"/>
  <c r="H120" i="19" s="1"/>
  <c r="H272" i="19" s="1"/>
  <c r="R120" i="8"/>
  <c r="I120" i="19" s="1"/>
  <c r="R120" i="17"/>
  <c r="J120" i="19" s="1"/>
  <c r="J272" i="19" s="1"/>
  <c r="L272" i="19" s="1"/>
  <c r="E121" i="19"/>
  <c r="F121" i="19"/>
  <c r="V122" i="1"/>
  <c r="G121" i="19" s="1"/>
  <c r="V122" i="16"/>
  <c r="H121" i="19" s="1"/>
  <c r="H273" i="19" s="1"/>
  <c r="R121" i="8"/>
  <c r="I121" i="19" s="1"/>
  <c r="R121" i="17"/>
  <c r="J121" i="19" s="1"/>
  <c r="J273" i="19" s="1"/>
  <c r="L273" i="19" s="1"/>
  <c r="E122" i="19"/>
  <c r="F122" i="19"/>
  <c r="V123" i="1"/>
  <c r="G122" i="19" s="1"/>
  <c r="V123" i="16"/>
  <c r="H122" i="19" s="1"/>
  <c r="H274" i="19" s="1"/>
  <c r="R122" i="8"/>
  <c r="I122" i="19" s="1"/>
  <c r="R122" i="17"/>
  <c r="J122" i="19" s="1"/>
  <c r="J274" i="19" s="1"/>
  <c r="L274" i="19" s="1"/>
  <c r="E123" i="19"/>
  <c r="F123" i="19"/>
  <c r="V124" i="1"/>
  <c r="G123" i="19" s="1"/>
  <c r="V124" i="16"/>
  <c r="H123" i="19" s="1"/>
  <c r="H275" i="19" s="1"/>
  <c r="R123" i="8"/>
  <c r="I123" i="19" s="1"/>
  <c r="R123" i="17"/>
  <c r="J123" i="19" s="1"/>
  <c r="J275" i="19" s="1"/>
  <c r="L275" i="19" s="1"/>
  <c r="E124" i="19"/>
  <c r="F124" i="19"/>
  <c r="V125" i="1"/>
  <c r="G124" i="19" s="1"/>
  <c r="V125" i="16"/>
  <c r="H124" i="19" s="1"/>
  <c r="H276" i="19" s="1"/>
  <c r="R124" i="8"/>
  <c r="I124" i="19" s="1"/>
  <c r="R124" i="17"/>
  <c r="J124" i="19" s="1"/>
  <c r="J276" i="19" s="1"/>
  <c r="L276" i="19" s="1"/>
  <c r="E125" i="19"/>
  <c r="F125" i="19"/>
  <c r="V126" i="1"/>
  <c r="G125" i="19" s="1"/>
  <c r="V126" i="16"/>
  <c r="H125" i="19" s="1"/>
  <c r="H277" i="19" s="1"/>
  <c r="R125" i="8"/>
  <c r="I125" i="19" s="1"/>
  <c r="R125" i="17"/>
  <c r="J125" i="19" s="1"/>
  <c r="J277" i="19" s="1"/>
  <c r="L277" i="19" s="1"/>
  <c r="E126" i="19"/>
  <c r="F126" i="19"/>
  <c r="V127" i="1"/>
  <c r="G126" i="19" s="1"/>
  <c r="V127" i="16"/>
  <c r="H126" i="19" s="1"/>
  <c r="H278" i="19" s="1"/>
  <c r="R126" i="8"/>
  <c r="I126" i="19" s="1"/>
  <c r="R126" i="17"/>
  <c r="J126" i="19" s="1"/>
  <c r="J278" i="19" s="1"/>
  <c r="L278" i="19" s="1"/>
  <c r="E127" i="19"/>
  <c r="F127" i="19"/>
  <c r="V128" i="1"/>
  <c r="G127" i="19" s="1"/>
  <c r="V128" i="16"/>
  <c r="H127" i="19" s="1"/>
  <c r="H279" i="19" s="1"/>
  <c r="R127" i="8"/>
  <c r="I127" i="19" s="1"/>
  <c r="R127" i="17"/>
  <c r="J127" i="19" s="1"/>
  <c r="J279" i="19" s="1"/>
  <c r="L279" i="19" s="1"/>
  <c r="E128" i="19"/>
  <c r="F128" i="19"/>
  <c r="V129" i="1"/>
  <c r="G128" i="19" s="1"/>
  <c r="V129" i="16"/>
  <c r="H128" i="19" s="1"/>
  <c r="H280" i="19" s="1"/>
  <c r="R128" i="8"/>
  <c r="I128" i="19" s="1"/>
  <c r="R128" i="17"/>
  <c r="J128" i="19"/>
  <c r="J280" i="19" s="1"/>
  <c r="L280" i="19" s="1"/>
  <c r="E129" i="19"/>
  <c r="F129" i="19"/>
  <c r="V130" i="1"/>
  <c r="G129" i="19" s="1"/>
  <c r="V130" i="16"/>
  <c r="H129" i="19" s="1"/>
  <c r="H281" i="19" s="1"/>
  <c r="R129" i="8"/>
  <c r="I129" i="19" s="1"/>
  <c r="R129" i="17"/>
  <c r="J129" i="19" s="1"/>
  <c r="J281" i="19" s="1"/>
  <c r="L281" i="19" s="1"/>
  <c r="E130" i="19"/>
  <c r="F130" i="19"/>
  <c r="V131" i="1"/>
  <c r="G130" i="19" s="1"/>
  <c r="V131" i="16"/>
  <c r="H130" i="19" s="1"/>
  <c r="H282" i="19" s="1"/>
  <c r="R130" i="8"/>
  <c r="I130" i="19" s="1"/>
  <c r="R130" i="17"/>
  <c r="J130" i="19" s="1"/>
  <c r="J282" i="19" s="1"/>
  <c r="L282" i="19" s="1"/>
  <c r="E131" i="19"/>
  <c r="F131" i="19"/>
  <c r="V132" i="1"/>
  <c r="G131" i="19" s="1"/>
  <c r="V132" i="16"/>
  <c r="H131" i="19" s="1"/>
  <c r="H283" i="19" s="1"/>
  <c r="R131" i="8"/>
  <c r="I131" i="19" s="1"/>
  <c r="R131" i="17"/>
  <c r="J131" i="19" s="1"/>
  <c r="J283" i="19" s="1"/>
  <c r="L283" i="19" s="1"/>
  <c r="E132" i="19"/>
  <c r="F132" i="19"/>
  <c r="V133" i="1"/>
  <c r="G132" i="19" s="1"/>
  <c r="V133" i="16"/>
  <c r="H132" i="19" s="1"/>
  <c r="H284" i="19" s="1"/>
  <c r="R132" i="8"/>
  <c r="I132" i="19"/>
  <c r="R132" i="17"/>
  <c r="J132" i="19" s="1"/>
  <c r="J284" i="19" s="1"/>
  <c r="L284" i="19" s="1"/>
  <c r="E133" i="19"/>
  <c r="F133" i="19"/>
  <c r="V134" i="1"/>
  <c r="G133" i="19" s="1"/>
  <c r="V134" i="16"/>
  <c r="H133" i="19" s="1"/>
  <c r="H285" i="19" s="1"/>
  <c r="R133" i="8"/>
  <c r="I133" i="19" s="1"/>
  <c r="R133" i="17"/>
  <c r="J133" i="19"/>
  <c r="J285" i="19" s="1"/>
  <c r="L285" i="19" s="1"/>
  <c r="E134" i="19"/>
  <c r="F134" i="19"/>
  <c r="V135" i="1"/>
  <c r="G134" i="19" s="1"/>
  <c r="V135" i="16"/>
  <c r="H134" i="19" s="1"/>
  <c r="H286" i="19" s="1"/>
  <c r="R134" i="8"/>
  <c r="I134" i="19" s="1"/>
  <c r="R134" i="17"/>
  <c r="J134" i="19" s="1"/>
  <c r="J286" i="19" s="1"/>
  <c r="L286" i="19" s="1"/>
  <c r="E135" i="19"/>
  <c r="F135" i="19"/>
  <c r="V136" i="1"/>
  <c r="G135" i="19" s="1"/>
  <c r="V136" i="16"/>
  <c r="H135" i="19" s="1"/>
  <c r="H287" i="19" s="1"/>
  <c r="R135" i="8"/>
  <c r="I135" i="19" s="1"/>
  <c r="R135" i="17"/>
  <c r="J135" i="19" s="1"/>
  <c r="J287" i="19" s="1"/>
  <c r="L287" i="19" s="1"/>
  <c r="E136" i="19"/>
  <c r="F136" i="19"/>
  <c r="V137" i="1"/>
  <c r="G136" i="19" s="1"/>
  <c r="V137" i="16"/>
  <c r="H136" i="19" s="1"/>
  <c r="H288" i="19" s="1"/>
  <c r="R136" i="8"/>
  <c r="I136" i="19" s="1"/>
  <c r="R136" i="17"/>
  <c r="J136" i="19" s="1"/>
  <c r="J288" i="19" s="1"/>
  <c r="L288" i="19" s="1"/>
  <c r="E137" i="19"/>
  <c r="F137" i="19"/>
  <c r="V138" i="1"/>
  <c r="G137" i="19" s="1"/>
  <c r="V138" i="16"/>
  <c r="H137" i="19" s="1"/>
  <c r="H289" i="19" s="1"/>
  <c r="R137" i="8"/>
  <c r="I137" i="19" s="1"/>
  <c r="R137" i="17"/>
  <c r="J137" i="19" s="1"/>
  <c r="J289" i="19" s="1"/>
  <c r="L289" i="19" s="1"/>
  <c r="E138" i="19"/>
  <c r="F138" i="19"/>
  <c r="V139" i="1"/>
  <c r="G138" i="19" s="1"/>
  <c r="V139" i="16"/>
  <c r="H138" i="19" s="1"/>
  <c r="H290" i="19" s="1"/>
  <c r="R138" i="8"/>
  <c r="I138" i="19" s="1"/>
  <c r="R138" i="17"/>
  <c r="J138" i="19" s="1"/>
  <c r="J290" i="19" s="1"/>
  <c r="L290" i="19" s="1"/>
  <c r="E139" i="19"/>
  <c r="F139" i="19"/>
  <c r="V140" i="1"/>
  <c r="G139" i="19" s="1"/>
  <c r="V140" i="16"/>
  <c r="H139" i="19" s="1"/>
  <c r="H291" i="19" s="1"/>
  <c r="R139" i="8"/>
  <c r="I139" i="19" s="1"/>
  <c r="R139" i="17"/>
  <c r="J139" i="19" s="1"/>
  <c r="J291" i="19" s="1"/>
  <c r="L291" i="19" s="1"/>
  <c r="E140" i="19"/>
  <c r="F140" i="19"/>
  <c r="V141" i="1"/>
  <c r="G140" i="19" s="1"/>
  <c r="V141" i="16"/>
  <c r="H140" i="19" s="1"/>
  <c r="H292" i="19" s="1"/>
  <c r="R140" i="8"/>
  <c r="I140" i="19" s="1"/>
  <c r="R140" i="17"/>
  <c r="J140" i="19" s="1"/>
  <c r="J292" i="19" s="1"/>
  <c r="L292" i="19" s="1"/>
  <c r="E141" i="19"/>
  <c r="F141" i="19"/>
  <c r="V142" i="1"/>
  <c r="G141" i="19" s="1"/>
  <c r="V142" i="16"/>
  <c r="H141" i="19" s="1"/>
  <c r="H293" i="19" s="1"/>
  <c r="R141" i="8"/>
  <c r="I141" i="19" s="1"/>
  <c r="R141" i="17"/>
  <c r="J141" i="19" s="1"/>
  <c r="J293" i="19" s="1"/>
  <c r="L293" i="19" s="1"/>
  <c r="E142" i="19"/>
  <c r="F142" i="19"/>
  <c r="V143" i="1"/>
  <c r="G142" i="19" s="1"/>
  <c r="V143" i="16"/>
  <c r="H142" i="19" s="1"/>
  <c r="H294" i="19" s="1"/>
  <c r="R142" i="8"/>
  <c r="I142" i="19" s="1"/>
  <c r="R142" i="17"/>
  <c r="J142" i="19" s="1"/>
  <c r="J294" i="19" s="1"/>
  <c r="L294" i="19" s="1"/>
  <c r="E143" i="19"/>
  <c r="F143" i="19"/>
  <c r="V144" i="1"/>
  <c r="G143" i="19" s="1"/>
  <c r="V144" i="16"/>
  <c r="H143" i="19" s="1"/>
  <c r="H295" i="19" s="1"/>
  <c r="R143" i="8"/>
  <c r="I143" i="19" s="1"/>
  <c r="R143" i="17"/>
  <c r="J143" i="19"/>
  <c r="J295" i="19" s="1"/>
  <c r="L295" i="19" s="1"/>
  <c r="E144" i="19"/>
  <c r="F144" i="19"/>
  <c r="V145" i="1"/>
  <c r="G144" i="19" s="1"/>
  <c r="V145" i="16"/>
  <c r="H144" i="19" s="1"/>
  <c r="H296" i="19" s="1"/>
  <c r="R144" i="8"/>
  <c r="I144" i="19" s="1"/>
  <c r="R144" i="17"/>
  <c r="J144" i="19" s="1"/>
  <c r="J296" i="19" s="1"/>
  <c r="L296" i="19" s="1"/>
  <c r="E145" i="19"/>
  <c r="F145" i="19"/>
  <c r="V146" i="1"/>
  <c r="G145" i="19" s="1"/>
  <c r="V146" i="16"/>
  <c r="H145" i="19" s="1"/>
  <c r="H297" i="19" s="1"/>
  <c r="R145" i="8"/>
  <c r="I145" i="19" s="1"/>
  <c r="R145" i="17"/>
  <c r="J145" i="19"/>
  <c r="J297" i="19" s="1"/>
  <c r="L297" i="19" s="1"/>
  <c r="E146" i="19"/>
  <c r="F146" i="19"/>
  <c r="V147" i="1"/>
  <c r="G146" i="19" s="1"/>
  <c r="V147" i="16"/>
  <c r="H146" i="19" s="1"/>
  <c r="H298" i="19" s="1"/>
  <c r="R146" i="8"/>
  <c r="I146" i="19" s="1"/>
  <c r="R146" i="17"/>
  <c r="J146" i="19" s="1"/>
  <c r="J298" i="19" s="1"/>
  <c r="L298" i="19" s="1"/>
  <c r="E147" i="19"/>
  <c r="F147" i="19"/>
  <c r="V148" i="1"/>
  <c r="G147" i="19" s="1"/>
  <c r="V148" i="16"/>
  <c r="H147" i="19" s="1"/>
  <c r="H299" i="19" s="1"/>
  <c r="R147" i="8"/>
  <c r="I147" i="19" s="1"/>
  <c r="R147" i="17"/>
  <c r="J147" i="19" s="1"/>
  <c r="J299" i="19" s="1"/>
  <c r="L299" i="19" s="1"/>
  <c r="E148" i="19"/>
  <c r="F148" i="19"/>
  <c r="V149" i="1"/>
  <c r="G148" i="19" s="1"/>
  <c r="V149" i="16"/>
  <c r="H148" i="19" s="1"/>
  <c r="H300" i="19" s="1"/>
  <c r="R148" i="8"/>
  <c r="I148" i="19"/>
  <c r="R148" i="17"/>
  <c r="J148" i="19" s="1"/>
  <c r="J300" i="19" s="1"/>
  <c r="L300" i="19" s="1"/>
  <c r="E149" i="19"/>
  <c r="F149" i="19"/>
  <c r="V150" i="1"/>
  <c r="G149" i="19" s="1"/>
  <c r="V150" i="16"/>
  <c r="H149" i="19" s="1"/>
  <c r="H301" i="19" s="1"/>
  <c r="R149" i="8"/>
  <c r="I149" i="19" s="1"/>
  <c r="R149" i="17"/>
  <c r="J149" i="19" s="1"/>
  <c r="J301" i="19" s="1"/>
  <c r="L301" i="19" s="1"/>
  <c r="E150" i="19"/>
  <c r="F150" i="19"/>
  <c r="V151" i="1"/>
  <c r="G150" i="19" s="1"/>
  <c r="V151" i="16"/>
  <c r="H150" i="19" s="1"/>
  <c r="H302" i="19" s="1"/>
  <c r="R150" i="8"/>
  <c r="I150" i="19" s="1"/>
  <c r="R150" i="17"/>
  <c r="J150" i="19" s="1"/>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93" i="27"/>
  <c r="I361" i="27"/>
  <c r="S193" i="27"/>
  <c r="R170" i="27"/>
  <c r="V164" i="19" s="1"/>
  <c r="R171" i="27"/>
  <c r="V165" i="19" s="1"/>
  <c r="R172" i="27"/>
  <c r="V166" i="19" s="1"/>
  <c r="R173" i="27"/>
  <c r="V167" i="19" s="1"/>
  <c r="R174" i="27"/>
  <c r="V168" i="19" s="1"/>
  <c r="R175" i="27"/>
  <c r="V169" i="19" s="1"/>
  <c r="R177" i="27"/>
  <c r="V171" i="19" s="1"/>
  <c r="R178" i="27"/>
  <c r="V172" i="19" s="1"/>
  <c r="R179" i="27"/>
  <c r="V173" i="19" s="1"/>
  <c r="R180" i="27"/>
  <c r="V174" i="19" s="1"/>
  <c r="R181" i="27"/>
  <c r="V175" i="19" s="1"/>
  <c r="R183" i="27"/>
  <c r="V177" i="19" s="1"/>
  <c r="R184" i="27"/>
  <c r="V178" i="19" s="1"/>
  <c r="R185" i="27"/>
  <c r="V179" i="19" s="1"/>
  <c r="R186" i="27"/>
  <c r="V180" i="19" s="1"/>
  <c r="R187" i="27"/>
  <c r="V181" i="19" s="1"/>
  <c r="R188" i="27"/>
  <c r="V182" i="19" s="1"/>
  <c r="R189" i="27"/>
  <c r="V183" i="19" s="1"/>
  <c r="R190" i="27"/>
  <c r="V184" i="19" s="1"/>
  <c r="R191" i="27"/>
  <c r="V185" i="19" s="1"/>
  <c r="R192" i="27"/>
  <c r="V186" i="19" s="1"/>
  <c r="Q193" i="27"/>
  <c r="P193" i="27"/>
  <c r="N193" i="27"/>
  <c r="H193" i="27"/>
  <c r="T192" i="27"/>
  <c r="T191" i="27"/>
  <c r="T190" i="27"/>
  <c r="T189" i="27"/>
  <c r="T188" i="27"/>
  <c r="T187" i="27"/>
  <c r="T186" i="27"/>
  <c r="T185" i="27"/>
  <c r="T184" i="27"/>
  <c r="T183" i="27"/>
  <c r="T181" i="27"/>
  <c r="T180" i="27"/>
  <c r="T179" i="27"/>
  <c r="T178" i="27"/>
  <c r="T177" i="27"/>
  <c r="T175" i="27"/>
  <c r="T174" i="27"/>
  <c r="T173" i="27"/>
  <c r="T172" i="27"/>
  <c r="T171" i="27"/>
  <c r="T170" i="27"/>
  <c r="R12" i="27"/>
  <c r="R17" i="27"/>
  <c r="T17" i="27" s="1"/>
  <c r="T21" i="27" s="1"/>
  <c r="R52" i="27"/>
  <c r="T52" i="27" s="1"/>
  <c r="T56" i="27" s="1"/>
  <c r="R57" i="27"/>
  <c r="T57" i="27" s="1"/>
  <c r="T61" i="27" s="1"/>
  <c r="R62" i="27"/>
  <c r="T62" i="27" s="1"/>
  <c r="T66" i="27" s="1"/>
  <c r="R67" i="27"/>
  <c r="T67" i="27" s="1"/>
  <c r="T71" i="27" s="1"/>
  <c r="R97" i="27"/>
  <c r="T97" i="27" s="1"/>
  <c r="T101" i="27" s="1"/>
  <c r="R112" i="27"/>
  <c r="T112" i="27" s="1"/>
  <c r="T116" i="27" s="1"/>
  <c r="R147" i="27"/>
  <c r="R157" i="27"/>
  <c r="T157" i="27" s="1"/>
  <c r="T161" i="27" s="1"/>
  <c r="T151" i="27"/>
  <c r="T16" i="27"/>
  <c r="B3" i="27"/>
  <c r="H152" i="26"/>
  <c r="I152" i="26"/>
  <c r="C44" i="20" s="1"/>
  <c r="D13" i="25"/>
  <c r="D14" i="25" s="1"/>
  <c r="D11" i="26"/>
  <c r="H153" i="25"/>
  <c r="I153" i="25"/>
  <c r="C25" i="20" s="1"/>
  <c r="J153" i="25"/>
  <c r="C27" i="20" s="1"/>
  <c r="K153" i="25"/>
  <c r="C28" i="20" s="1"/>
  <c r="L153" i="25"/>
  <c r="C30" i="20" s="1"/>
  <c r="M153" i="25"/>
  <c r="C31" i="20" s="1"/>
  <c r="Q153" i="25"/>
  <c r="C39" i="20" s="1"/>
  <c r="V152" i="25"/>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V13" i="19"/>
  <c r="V15" i="19"/>
  <c r="V16" i="19"/>
  <c r="V17" i="19"/>
  <c r="V19" i="19"/>
  <c r="V20" i="19"/>
  <c r="V21" i="19"/>
  <c r="V22" i="19"/>
  <c r="V23" i="19"/>
  <c r="V26" i="19"/>
  <c r="V27" i="19"/>
  <c r="V28" i="19"/>
  <c r="V29" i="19"/>
  <c r="V30" i="19"/>
  <c r="V31" i="19"/>
  <c r="V32" i="19"/>
  <c r="V33" i="19"/>
  <c r="R12" i="18"/>
  <c r="T16" i="18" s="1"/>
  <c r="R17" i="18"/>
  <c r="R22" i="18"/>
  <c r="T26" i="18" s="1"/>
  <c r="R27" i="18"/>
  <c r="R32" i="18"/>
  <c r="R37" i="18"/>
  <c r="R42" i="18"/>
  <c r="R47" i="18"/>
  <c r="R52" i="18"/>
  <c r="R167" i="18"/>
  <c r="R180" i="18"/>
  <c r="R181" i="18"/>
  <c r="R182" i="18"/>
  <c r="R183" i="18"/>
  <c r="AA15" i="19" s="1"/>
  <c r="AA167" i="19" s="1"/>
  <c r="R184" i="18"/>
  <c r="AA16" i="19" s="1"/>
  <c r="AA168" i="19" s="1"/>
  <c r="R185" i="18"/>
  <c r="AA17" i="19" s="1"/>
  <c r="AA169" i="19" s="1"/>
  <c r="R187" i="18"/>
  <c r="AA19" i="19" s="1"/>
  <c r="AA171" i="19" s="1"/>
  <c r="R188" i="18"/>
  <c r="R189" i="18"/>
  <c r="R190" i="18"/>
  <c r="R191" i="18"/>
  <c r="R193" i="18"/>
  <c r="R194" i="18"/>
  <c r="AA26" i="19" s="1"/>
  <c r="AA178" i="19" s="1"/>
  <c r="R195" i="18"/>
  <c r="R196" i="18"/>
  <c r="R197" i="18"/>
  <c r="R198" i="18"/>
  <c r="AA30" i="19" s="1"/>
  <c r="AA182" i="19" s="1"/>
  <c r="R199" i="18"/>
  <c r="R200" i="18"/>
  <c r="AA32" i="19" s="1"/>
  <c r="AA184" i="19" s="1"/>
  <c r="R201" i="18"/>
  <c r="R202" i="18"/>
  <c r="V152" i="1"/>
  <c r="F176" i="1" s="1"/>
  <c r="F177" i="1" s="1"/>
  <c r="F178" i="1" s="1"/>
  <c r="B21" i="36" s="1"/>
  <c r="R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434" i="18" s="1"/>
  <c r="F109" i="16"/>
  <c r="E110" i="16"/>
  <c r="I435" i="18" s="1"/>
  <c r="F110" i="16"/>
  <c r="E111" i="16"/>
  <c r="I43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96" i="9" s="1"/>
  <c r="F13" i="1"/>
  <c r="E14" i="1"/>
  <c r="I312" i="18" s="1"/>
  <c r="F14" i="1"/>
  <c r="E15" i="1"/>
  <c r="I298" i="9" s="1"/>
  <c r="F15" i="1"/>
  <c r="E16" i="1"/>
  <c r="I314" i="18" s="1"/>
  <c r="F16" i="1"/>
  <c r="E17" i="1"/>
  <c r="I315" i="18" s="1"/>
  <c r="F17" i="1"/>
  <c r="E18" i="1"/>
  <c r="I301" i="9" s="1"/>
  <c r="F18" i="1"/>
  <c r="E19" i="1"/>
  <c r="I302" i="9" s="1"/>
  <c r="F19" i="1"/>
  <c r="E20" i="1"/>
  <c r="I303" i="9" s="1"/>
  <c r="F20" i="1"/>
  <c r="E21" i="1"/>
  <c r="I304" i="9" s="1"/>
  <c r="F21" i="1"/>
  <c r="E22" i="1"/>
  <c r="I320" i="18" s="1"/>
  <c r="F22" i="1"/>
  <c r="E23" i="1"/>
  <c r="I306" i="9" s="1"/>
  <c r="F23" i="1"/>
  <c r="E24" i="1"/>
  <c r="I307" i="9" s="1"/>
  <c r="F24" i="1"/>
  <c r="E25" i="1"/>
  <c r="I323" i="18" s="1"/>
  <c r="F25" i="1"/>
  <c r="E26" i="1"/>
  <c r="I324" i="18" s="1"/>
  <c r="F26" i="1"/>
  <c r="E27" i="1"/>
  <c r="I310" i="9" s="1"/>
  <c r="F27" i="1"/>
  <c r="E28" i="1"/>
  <c r="I311" i="9" s="1"/>
  <c r="F28" i="1"/>
  <c r="E29" i="1"/>
  <c r="I312" i="9" s="1"/>
  <c r="F29" i="1"/>
  <c r="E30" i="1"/>
  <c r="I328" i="18" s="1"/>
  <c r="F30" i="1"/>
  <c r="E31" i="1"/>
  <c r="I314" i="9" s="1"/>
  <c r="F31" i="1"/>
  <c r="E32" i="1"/>
  <c r="I315" i="9" s="1"/>
  <c r="F32" i="1"/>
  <c r="E33" i="1"/>
  <c r="I316" i="9" s="1"/>
  <c r="F33" i="1"/>
  <c r="E34" i="1"/>
  <c r="I332" i="18" s="1"/>
  <c r="F34" i="1"/>
  <c r="E35" i="1"/>
  <c r="I318" i="9" s="1"/>
  <c r="F35" i="1"/>
  <c r="E36" i="1"/>
  <c r="I334" i="18" s="1"/>
  <c r="F36" i="1"/>
  <c r="E37" i="1"/>
  <c r="I320" i="9" s="1"/>
  <c r="F37" i="1"/>
  <c r="E38" i="1"/>
  <c r="I321" i="9" s="1"/>
  <c r="F38" i="1"/>
  <c r="E39" i="1"/>
  <c r="I322" i="9" s="1"/>
  <c r="F39" i="1"/>
  <c r="E40" i="1"/>
  <c r="I323" i="9" s="1"/>
  <c r="F40" i="1"/>
  <c r="E41" i="1"/>
  <c r="I324" i="9" s="1"/>
  <c r="F41" i="1"/>
  <c r="E42" i="1"/>
  <c r="I325" i="9" s="1"/>
  <c r="F42" i="1"/>
  <c r="E43" i="1"/>
  <c r="I326" i="9" s="1"/>
  <c r="F43" i="1"/>
  <c r="E44" i="1"/>
  <c r="I327" i="9" s="1"/>
  <c r="F44" i="1"/>
  <c r="E45" i="1"/>
  <c r="I328" i="9" s="1"/>
  <c r="F45" i="1"/>
  <c r="E46" i="1"/>
  <c r="I329" i="9" s="1"/>
  <c r="F46" i="1"/>
  <c r="E47" i="1"/>
  <c r="I330" i="9" s="1"/>
  <c r="F47" i="1"/>
  <c r="E48" i="1"/>
  <c r="I331" i="9" s="1"/>
  <c r="F48" i="1"/>
  <c r="E49" i="1"/>
  <c r="I332" i="9" s="1"/>
  <c r="F49" i="1"/>
  <c r="E50" i="1"/>
  <c r="I333" i="9" s="1"/>
  <c r="F50" i="1"/>
  <c r="E51" i="1"/>
  <c r="F51" i="1"/>
  <c r="E52" i="1"/>
  <c r="I335" i="9" s="1"/>
  <c r="F52" i="1"/>
  <c r="E53" i="1"/>
  <c r="I336" i="9" s="1"/>
  <c r="F53" i="1"/>
  <c r="E54" i="1"/>
  <c r="I337" i="9" s="1"/>
  <c r="F54" i="1"/>
  <c r="E55" i="1"/>
  <c r="I338" i="9" s="1"/>
  <c r="F55" i="1"/>
  <c r="E56" i="1"/>
  <c r="I339" i="9" s="1"/>
  <c r="F56" i="1"/>
  <c r="E57" i="1"/>
  <c r="I340" i="9" s="1"/>
  <c r="F57" i="1"/>
  <c r="E58" i="1"/>
  <c r="I341" i="9" s="1"/>
  <c r="F58" i="1"/>
  <c r="E59" i="1"/>
  <c r="I342" i="9" s="1"/>
  <c r="F59" i="1"/>
  <c r="E60" i="1"/>
  <c r="I343" i="9" s="1"/>
  <c r="F60" i="1"/>
  <c r="E61" i="1"/>
  <c r="I344" i="9" s="1"/>
  <c r="F61" i="1"/>
  <c r="E62" i="1"/>
  <c r="I345" i="9" s="1"/>
  <c r="F62" i="1"/>
  <c r="E63" i="1"/>
  <c r="I346" i="9" s="1"/>
  <c r="F63" i="1"/>
  <c r="E64" i="1"/>
  <c r="I347" i="9" s="1"/>
  <c r="F64" i="1"/>
  <c r="E65" i="1"/>
  <c r="I348" i="9" s="1"/>
  <c r="F65" i="1"/>
  <c r="E66" i="1"/>
  <c r="I349" i="9" s="1"/>
  <c r="F66" i="1"/>
  <c r="E67" i="1"/>
  <c r="I350" i="9" s="1"/>
  <c r="F67" i="1"/>
  <c r="E68" i="1"/>
  <c r="I351" i="9" s="1"/>
  <c r="F68" i="1"/>
  <c r="E69" i="1"/>
  <c r="I352" i="9" s="1"/>
  <c r="F69" i="1"/>
  <c r="E70" i="1"/>
  <c r="F70" i="1"/>
  <c r="E71" i="1"/>
  <c r="I354" i="9" s="1"/>
  <c r="F71" i="1"/>
  <c r="E72" i="1"/>
  <c r="I355" i="9" s="1"/>
  <c r="F72" i="1"/>
  <c r="E73" i="1"/>
  <c r="I356" i="9" s="1"/>
  <c r="F73" i="1"/>
  <c r="E74" i="1"/>
  <c r="I357" i="9" s="1"/>
  <c r="F74" i="1"/>
  <c r="E75" i="1"/>
  <c r="I358" i="9" s="1"/>
  <c r="F75" i="1"/>
  <c r="E76" i="1"/>
  <c r="I359" i="9" s="1"/>
  <c r="F76" i="1"/>
  <c r="E77" i="1"/>
  <c r="I360" i="9" s="1"/>
  <c r="F77" i="1"/>
  <c r="E78" i="1"/>
  <c r="I361" i="9" s="1"/>
  <c r="F78" i="1"/>
  <c r="E79" i="1"/>
  <c r="I362" i="9" s="1"/>
  <c r="F79" i="1"/>
  <c r="E80" i="1"/>
  <c r="I363" i="9" s="1"/>
  <c r="F80" i="1"/>
  <c r="E81" i="1"/>
  <c r="I364" i="9" s="1"/>
  <c r="F81" i="1"/>
  <c r="E82" i="1"/>
  <c r="I365" i="9" s="1"/>
  <c r="F82" i="1"/>
  <c r="E83" i="1"/>
  <c r="I366" i="9" s="1"/>
  <c r="F83" i="1"/>
  <c r="E84" i="1"/>
  <c r="I367" i="9" s="1"/>
  <c r="F84" i="1"/>
  <c r="E85" i="1"/>
  <c r="I368" i="9" s="1"/>
  <c r="F85" i="1"/>
  <c r="E86" i="1"/>
  <c r="I369" i="9" s="1"/>
  <c r="F86" i="1"/>
  <c r="E87" i="1"/>
  <c r="I370" i="9" s="1"/>
  <c r="F87" i="1"/>
  <c r="E88" i="1"/>
  <c r="F88" i="1"/>
  <c r="E89" i="1"/>
  <c r="I372" i="9" s="1"/>
  <c r="F89" i="1"/>
  <c r="E90" i="1"/>
  <c r="I373" i="9" s="1"/>
  <c r="F90" i="1"/>
  <c r="E91" i="1"/>
  <c r="I374" i="9" s="1"/>
  <c r="F91" i="1"/>
  <c r="E92" i="1"/>
  <c r="I375" i="9" s="1"/>
  <c r="F92" i="1"/>
  <c r="E93" i="1"/>
  <c r="I376" i="9" s="1"/>
  <c r="F93" i="1"/>
  <c r="E94" i="1"/>
  <c r="I377" i="9" s="1"/>
  <c r="F94" i="1"/>
  <c r="E95" i="1"/>
  <c r="I378" i="9" s="1"/>
  <c r="F95" i="1"/>
  <c r="E96" i="1"/>
  <c r="I379" i="9" s="1"/>
  <c r="F96" i="1"/>
  <c r="E97" i="1"/>
  <c r="I380" i="9" s="1"/>
  <c r="F97" i="1"/>
  <c r="E98" i="1"/>
  <c r="I381" i="9" s="1"/>
  <c r="F98" i="1"/>
  <c r="E99" i="1"/>
  <c r="I382" i="9" s="1"/>
  <c r="F99" i="1"/>
  <c r="E100" i="1"/>
  <c r="I383" i="9" s="1"/>
  <c r="F100" i="1"/>
  <c r="E101" i="1"/>
  <c r="I384" i="9" s="1"/>
  <c r="F101" i="1"/>
  <c r="E102" i="1"/>
  <c r="I385" i="9" s="1"/>
  <c r="F102" i="1"/>
  <c r="E103" i="1"/>
  <c r="I386" i="9" s="1"/>
  <c r="F103" i="1"/>
  <c r="E104" i="1"/>
  <c r="I387" i="9" s="1"/>
  <c r="F104" i="1"/>
  <c r="E105" i="1"/>
  <c r="I388" i="9" s="1"/>
  <c r="F105" i="1"/>
  <c r="E106" i="1"/>
  <c r="I389" i="9" s="1"/>
  <c r="F106" i="1"/>
  <c r="E107" i="1"/>
  <c r="I390" i="9" s="1"/>
  <c r="F107" i="1"/>
  <c r="E108" i="1"/>
  <c r="I391" i="9" s="1"/>
  <c r="F108" i="1"/>
  <c r="E109" i="1"/>
  <c r="I392" i="9" s="1"/>
  <c r="F109" i="1"/>
  <c r="E110" i="1"/>
  <c r="I393" i="9" s="1"/>
  <c r="F110" i="1"/>
  <c r="E111" i="1"/>
  <c r="I394" i="9" s="1"/>
  <c r="F111" i="1"/>
  <c r="E112" i="1"/>
  <c r="I395" i="9" s="1"/>
  <c r="F112" i="1"/>
  <c r="E113" i="1"/>
  <c r="I396" i="9" s="1"/>
  <c r="F113" i="1"/>
  <c r="E114" i="1"/>
  <c r="I397" i="9" s="1"/>
  <c r="F114" i="1"/>
  <c r="E115" i="1"/>
  <c r="I398" i="9" s="1"/>
  <c r="F115" i="1"/>
  <c r="E116" i="1"/>
  <c r="I399" i="9" s="1"/>
  <c r="F116" i="1"/>
  <c r="E117" i="1"/>
  <c r="I400" i="9" s="1"/>
  <c r="F117" i="1"/>
  <c r="E118" i="1"/>
  <c r="I401" i="9" s="1"/>
  <c r="F118" i="1"/>
  <c r="E119" i="1"/>
  <c r="I402" i="9" s="1"/>
  <c r="F119" i="1"/>
  <c r="E120" i="1"/>
  <c r="I403" i="9" s="1"/>
  <c r="F120" i="1"/>
  <c r="E121" i="1"/>
  <c r="I404" i="9" s="1"/>
  <c r="F121" i="1"/>
  <c r="E122" i="1"/>
  <c r="I405" i="9" s="1"/>
  <c r="F122" i="1"/>
  <c r="E123" i="1"/>
  <c r="I406" i="9" s="1"/>
  <c r="F123" i="1"/>
  <c r="E124" i="1"/>
  <c r="I407" i="9" s="1"/>
  <c r="F124" i="1"/>
  <c r="E125" i="1"/>
  <c r="I408" i="9" s="1"/>
  <c r="F125" i="1"/>
  <c r="E126" i="1"/>
  <c r="I409" i="9" s="1"/>
  <c r="F126" i="1"/>
  <c r="E127" i="1"/>
  <c r="I410" i="9" s="1"/>
  <c r="F127" i="1"/>
  <c r="E128" i="1"/>
  <c r="I411" i="9" s="1"/>
  <c r="F128" i="1"/>
  <c r="E129" i="1"/>
  <c r="I412" i="9" s="1"/>
  <c r="F129" i="1"/>
  <c r="E130" i="1"/>
  <c r="I413" i="9" s="1"/>
  <c r="F130" i="1"/>
  <c r="E131" i="1"/>
  <c r="I414" i="9" s="1"/>
  <c r="F131" i="1"/>
  <c r="E132" i="1"/>
  <c r="I415" i="9" s="1"/>
  <c r="F132" i="1"/>
  <c r="E133" i="1"/>
  <c r="I416" i="9" s="1"/>
  <c r="F133" i="1"/>
  <c r="E134" i="1"/>
  <c r="I417" i="9" s="1"/>
  <c r="F134" i="1"/>
  <c r="E135" i="1"/>
  <c r="I418" i="9" s="1"/>
  <c r="F135" i="1"/>
  <c r="E136" i="1"/>
  <c r="I419" i="9" s="1"/>
  <c r="F136" i="1"/>
  <c r="E137" i="1"/>
  <c r="I420" i="9" s="1"/>
  <c r="F137" i="1"/>
  <c r="E138" i="1"/>
  <c r="I421" i="9" s="1"/>
  <c r="F138" i="1"/>
  <c r="E139" i="1"/>
  <c r="I422" i="9" s="1"/>
  <c r="F139" i="1"/>
  <c r="E140" i="1"/>
  <c r="F140" i="1"/>
  <c r="E141" i="1"/>
  <c r="I424" i="9" s="1"/>
  <c r="F141" i="1"/>
  <c r="E142" i="1"/>
  <c r="I425" i="9" s="1"/>
  <c r="F142" i="1"/>
  <c r="E143" i="1"/>
  <c r="I426" i="9" s="1"/>
  <c r="F143" i="1"/>
  <c r="E144" i="1"/>
  <c r="I427" i="9" s="1"/>
  <c r="F144" i="1"/>
  <c r="E145" i="1"/>
  <c r="I428" i="9" s="1"/>
  <c r="F145" i="1"/>
  <c r="E146" i="1"/>
  <c r="I429" i="9" s="1"/>
  <c r="F146" i="1"/>
  <c r="E147" i="1"/>
  <c r="I430" i="9" s="1"/>
  <c r="F147" i="1"/>
  <c r="E148" i="1"/>
  <c r="I431" i="9" s="1"/>
  <c r="F148" i="1"/>
  <c r="E149" i="1"/>
  <c r="I432" i="9" s="1"/>
  <c r="F149" i="1"/>
  <c r="E150" i="1"/>
  <c r="I433" i="9" s="1"/>
  <c r="F150" i="1"/>
  <c r="E151" i="1"/>
  <c r="I434" i="9" s="1"/>
  <c r="F151" i="1"/>
  <c r="I423" i="9"/>
  <c r="I371" i="9"/>
  <c r="I334" i="9"/>
  <c r="I353" i="9"/>
  <c r="D13" i="1"/>
  <c r="D14" i="1" s="1"/>
  <c r="D15" i="1" s="1"/>
  <c r="D16" i="1" s="1"/>
  <c r="D17" i="1" s="1"/>
  <c r="D18" i="1" s="1"/>
  <c r="D19" i="1" s="1"/>
  <c r="D20" i="1" s="1"/>
  <c r="D19" i="8" s="1"/>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AA23" i="19"/>
  <c r="AA175"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AA12" i="19"/>
  <c r="AA164"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1" i="19" s="1"/>
  <c r="J163" i="19" s="1"/>
  <c r="R11" i="8"/>
  <c r="I11" i="19" s="1"/>
  <c r="R12" i="17"/>
  <c r="J12" i="19" s="1"/>
  <c r="J164" i="19" s="1"/>
  <c r="L164" i="19" s="1"/>
  <c r="R12" i="8"/>
  <c r="I12" i="19" s="1"/>
  <c r="R13" i="17"/>
  <c r="J13" i="19" s="1"/>
  <c r="J165" i="19" s="1"/>
  <c r="L165" i="19" s="1"/>
  <c r="R13" i="8"/>
  <c r="I13" i="19" s="1"/>
  <c r="R14" i="17"/>
  <c r="J14" i="19" s="1"/>
  <c r="J166" i="19" s="1"/>
  <c r="L166" i="19" s="1"/>
  <c r="R14" i="8"/>
  <c r="I14" i="19" s="1"/>
  <c r="R15" i="17"/>
  <c r="J15" i="19" s="1"/>
  <c r="J167" i="19" s="1"/>
  <c r="L167" i="19" s="1"/>
  <c r="R15" i="8"/>
  <c r="I15" i="19" s="1"/>
  <c r="R16" i="17"/>
  <c r="J16" i="19" s="1"/>
  <c r="J168" i="19" s="1"/>
  <c r="L168" i="19" s="1"/>
  <c r="R16" i="8"/>
  <c r="I16" i="19" s="1"/>
  <c r="R17" i="17"/>
  <c r="J17" i="19" s="1"/>
  <c r="J169" i="19" s="1"/>
  <c r="L169" i="19" s="1"/>
  <c r="R17" i="8"/>
  <c r="I17" i="19" s="1"/>
  <c r="R18" i="17"/>
  <c r="J18" i="19" s="1"/>
  <c r="J170" i="19" s="1"/>
  <c r="L170" i="19" s="1"/>
  <c r="R19" i="17"/>
  <c r="J19" i="19" s="1"/>
  <c r="J171" i="19" s="1"/>
  <c r="L171" i="19" s="1"/>
  <c r="R19" i="8"/>
  <c r="I19" i="19" s="1"/>
  <c r="R20" i="17"/>
  <c r="J20" i="19" s="1"/>
  <c r="J172" i="19" s="1"/>
  <c r="L172" i="19" s="1"/>
  <c r="R20" i="8"/>
  <c r="I20" i="19" s="1"/>
  <c r="R21" i="17"/>
  <c r="J21" i="19" s="1"/>
  <c r="J173" i="19" s="1"/>
  <c r="L173" i="19" s="1"/>
  <c r="R21" i="8"/>
  <c r="I21" i="19" s="1"/>
  <c r="R22" i="17"/>
  <c r="J22" i="19" s="1"/>
  <c r="J174" i="19" s="1"/>
  <c r="L174" i="19" s="1"/>
  <c r="R22" i="8"/>
  <c r="I22" i="19" s="1"/>
  <c r="R23" i="17"/>
  <c r="J23" i="19" s="1"/>
  <c r="J175" i="19" s="1"/>
  <c r="L175" i="19" s="1"/>
  <c r="R23" i="8"/>
  <c r="I23" i="19" s="1"/>
  <c r="R24" i="17"/>
  <c r="J24" i="19" s="1"/>
  <c r="J176" i="19" s="1"/>
  <c r="L176" i="19" s="1"/>
  <c r="R25" i="17"/>
  <c r="J25" i="19" s="1"/>
  <c r="J177" i="19" s="1"/>
  <c r="L177" i="19" s="1"/>
  <c r="R25" i="8"/>
  <c r="I25" i="19" s="1"/>
  <c r="R26" i="17"/>
  <c r="J26" i="19" s="1"/>
  <c r="J178" i="19" s="1"/>
  <c r="L178" i="19" s="1"/>
  <c r="R26" i="8"/>
  <c r="I26" i="19" s="1"/>
  <c r="R27" i="17"/>
  <c r="J27" i="19" s="1"/>
  <c r="J179" i="19" s="1"/>
  <c r="L179" i="19" s="1"/>
  <c r="R27" i="8"/>
  <c r="I27" i="19" s="1"/>
  <c r="R28" i="17"/>
  <c r="J28" i="19" s="1"/>
  <c r="J180" i="19" s="1"/>
  <c r="L180" i="19" s="1"/>
  <c r="R29" i="17"/>
  <c r="J29" i="19" s="1"/>
  <c r="J181" i="19" s="1"/>
  <c r="L181" i="19" s="1"/>
  <c r="R29" i="8"/>
  <c r="I29" i="19" s="1"/>
  <c r="R30" i="17"/>
  <c r="J30" i="19" s="1"/>
  <c r="J182" i="19" s="1"/>
  <c r="L182" i="19" s="1"/>
  <c r="R30" i="8"/>
  <c r="I30" i="19" s="1"/>
  <c r="R151" i="17"/>
  <c r="V12" i="16"/>
  <c r="V12" i="1"/>
  <c r="G11" i="19" s="1"/>
  <c r="V13" i="16"/>
  <c r="H12" i="19" s="1"/>
  <c r="H164" i="19" s="1"/>
  <c r="V13" i="1"/>
  <c r="G12" i="19" s="1"/>
  <c r="V14" i="16"/>
  <c r="H13" i="19" s="1"/>
  <c r="H165" i="19" s="1"/>
  <c r="V14" i="1"/>
  <c r="G13" i="19" s="1"/>
  <c r="V15" i="16"/>
  <c r="H14" i="19" s="1"/>
  <c r="H166" i="19" s="1"/>
  <c r="V15" i="1"/>
  <c r="G14" i="19" s="1"/>
  <c r="V16" i="16"/>
  <c r="H15" i="19" s="1"/>
  <c r="H167" i="19" s="1"/>
  <c r="K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K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152" i="19"/>
  <c r="H304" i="19" s="1"/>
  <c r="G152" i="19"/>
  <c r="D24" i="20"/>
  <c r="I153" i="16"/>
  <c r="D25" i="20" s="1"/>
  <c r="J153" i="16"/>
  <c r="D27" i="20" s="1"/>
  <c r="K153" i="16"/>
  <c r="D28" i="20" s="1"/>
  <c r="L153" i="16"/>
  <c r="D30" i="20" s="1"/>
  <c r="M153" i="16"/>
  <c r="D31" i="20" s="1"/>
  <c r="N153" i="16"/>
  <c r="D33" i="20" s="1"/>
  <c r="M153" i="1"/>
  <c r="D136" i="20" s="1"/>
  <c r="D135" i="20"/>
  <c r="K153" i="1"/>
  <c r="D133" i="20" s="1"/>
  <c r="J153" i="1"/>
  <c r="D132" i="20" s="1"/>
  <c r="I153" i="1"/>
  <c r="D130" i="20" s="1"/>
  <c r="H153" i="1"/>
  <c r="S203" i="18"/>
  <c r="Q203" i="18"/>
  <c r="D108" i="20" s="1"/>
  <c r="P203" i="18"/>
  <c r="D109" i="20" s="1"/>
  <c r="D106" i="20"/>
  <c r="N203" i="18"/>
  <c r="T202" i="18"/>
  <c r="T201" i="18"/>
  <c r="T200" i="18"/>
  <c r="T199" i="18"/>
  <c r="T198" i="18"/>
  <c r="T197" i="18"/>
  <c r="T196" i="18"/>
  <c r="T195" i="18"/>
  <c r="T194" i="18"/>
  <c r="T193" i="18"/>
  <c r="T191" i="18"/>
  <c r="T190" i="18"/>
  <c r="T189" i="18"/>
  <c r="T188" i="18"/>
  <c r="T187" i="18"/>
  <c r="T185" i="18"/>
  <c r="T184" i="18"/>
  <c r="T183" i="18"/>
  <c r="T182" i="18"/>
  <c r="T181" i="18"/>
  <c r="T180" i="18"/>
  <c r="D17" i="18"/>
  <c r="D22" i="18" s="1"/>
  <c r="D27" i="18" s="1"/>
  <c r="D32" i="18" s="1"/>
  <c r="D37" i="18" s="1"/>
  <c r="D42" i="18" s="1"/>
  <c r="D47" i="18" s="1"/>
  <c r="D52" i="18" s="1"/>
  <c r="D57" i="18" s="1"/>
  <c r="D62" i="18" s="1"/>
  <c r="D67" i="18" s="1"/>
  <c r="D72" i="18" s="1"/>
  <c r="T167" i="9"/>
  <c r="T170" i="9"/>
  <c r="T169" i="9"/>
  <c r="T168" i="9"/>
  <c r="T166" i="9"/>
  <c r="E151" i="19"/>
  <c r="T186" i="9"/>
  <c r="T185" i="9"/>
  <c r="T184" i="9"/>
  <c r="T183" i="9"/>
  <c r="T182" i="9"/>
  <c r="T181" i="9"/>
  <c r="T180" i="9"/>
  <c r="T179" i="9"/>
  <c r="T178" i="9"/>
  <c r="T176" i="9"/>
  <c r="T175" i="9"/>
  <c r="T174" i="9"/>
  <c r="T173" i="9"/>
  <c r="T172" i="9"/>
  <c r="T165" i="9"/>
  <c r="V12" i="19"/>
  <c r="U34" i="19"/>
  <c r="T34" i="19"/>
  <c r="R34" i="19"/>
  <c r="U33" i="19"/>
  <c r="T33" i="19"/>
  <c r="S33" i="19"/>
  <c r="R33" i="19"/>
  <c r="U32" i="19"/>
  <c r="T32" i="19"/>
  <c r="S32" i="19"/>
  <c r="R32" i="19"/>
  <c r="U31" i="19"/>
  <c r="T31" i="19"/>
  <c r="S31" i="19"/>
  <c r="R31" i="19"/>
  <c r="U30" i="19"/>
  <c r="T30" i="19"/>
  <c r="S30" i="19"/>
  <c r="R30" i="19"/>
  <c r="U29" i="19"/>
  <c r="T29" i="19"/>
  <c r="S29" i="19"/>
  <c r="R29" i="19"/>
  <c r="U28" i="19"/>
  <c r="T28" i="19"/>
  <c r="S28" i="19"/>
  <c r="R28" i="19"/>
  <c r="U27" i="19"/>
  <c r="T27" i="19"/>
  <c r="S27" i="19"/>
  <c r="R27" i="19"/>
  <c r="U26" i="19"/>
  <c r="T26" i="19"/>
  <c r="S26" i="19"/>
  <c r="R26" i="19"/>
  <c r="U25" i="19"/>
  <c r="T25" i="19"/>
  <c r="S25" i="19"/>
  <c r="U23" i="19"/>
  <c r="T23" i="19"/>
  <c r="S23" i="19"/>
  <c r="R23" i="19"/>
  <c r="AD23" i="19" s="1"/>
  <c r="U22" i="19"/>
  <c r="T22" i="19"/>
  <c r="S22" i="19"/>
  <c r="R22" i="19"/>
  <c r="U21" i="19"/>
  <c r="T21" i="19"/>
  <c r="S21" i="19"/>
  <c r="R21" i="19"/>
  <c r="U20" i="19"/>
  <c r="T20" i="19"/>
  <c r="S20" i="19"/>
  <c r="R20" i="19"/>
  <c r="U19" i="19"/>
  <c r="T19" i="19"/>
  <c r="S19" i="19"/>
  <c r="R19" i="19"/>
  <c r="U17" i="19"/>
  <c r="T17" i="19"/>
  <c r="S17" i="19"/>
  <c r="R17" i="19"/>
  <c r="U16" i="19"/>
  <c r="T16" i="19"/>
  <c r="S16" i="19"/>
  <c r="R16" i="19"/>
  <c r="U15" i="19"/>
  <c r="T15" i="19"/>
  <c r="S15" i="19"/>
  <c r="R15" i="19"/>
  <c r="U14" i="19"/>
  <c r="T14" i="19"/>
  <c r="S14" i="19"/>
  <c r="U13" i="19"/>
  <c r="T13" i="19"/>
  <c r="S13" i="19"/>
  <c r="R13" i="19"/>
  <c r="U12" i="19"/>
  <c r="T12" i="19"/>
  <c r="S12" i="19"/>
  <c r="R12" i="19"/>
  <c r="F110" i="17"/>
  <c r="E108" i="17"/>
  <c r="E107" i="17"/>
  <c r="F106" i="16"/>
  <c r="E106" i="16"/>
  <c r="I431" i="18" s="1"/>
  <c r="E105" i="16"/>
  <c r="I430" i="18" s="1"/>
  <c r="E103" i="17"/>
  <c r="F103" i="16"/>
  <c r="F101" i="17"/>
  <c r="F100" i="17"/>
  <c r="E101" i="16"/>
  <c r="I426" i="18" s="1"/>
  <c r="E99" i="17"/>
  <c r="F97" i="17"/>
  <c r="E97" i="17"/>
  <c r="E97" i="16"/>
  <c r="I422" i="18" s="1"/>
  <c r="E95" i="17"/>
  <c r="F94" i="17"/>
  <c r="F93" i="17"/>
  <c r="F93" i="16"/>
  <c r="E92" i="17"/>
  <c r="E91" i="17"/>
  <c r="F90" i="16"/>
  <c r="E90" i="16"/>
  <c r="I415" i="18" s="1"/>
  <c r="E89" i="16"/>
  <c r="I414" i="18" s="1"/>
  <c r="E87" i="17"/>
  <c r="F87" i="16"/>
  <c r="F86" i="16"/>
  <c r="F84" i="17"/>
  <c r="E85" i="16"/>
  <c r="I410" i="18" s="1"/>
  <c r="E83" i="17"/>
  <c r="F81" i="17"/>
  <c r="E81" i="17"/>
  <c r="E81" i="16"/>
  <c r="I406" i="18" s="1"/>
  <c r="E79" i="17"/>
  <c r="F78" i="17"/>
  <c r="F77" i="17"/>
  <c r="F77" i="16"/>
  <c r="E76" i="17"/>
  <c r="E75" i="17"/>
  <c r="F74" i="16"/>
  <c r="E74" i="16"/>
  <c r="I399" i="18" s="1"/>
  <c r="E73" i="16"/>
  <c r="I398" i="18" s="1"/>
  <c r="E71" i="17"/>
  <c r="F71" i="16"/>
  <c r="F69" i="17"/>
  <c r="F68" i="17"/>
  <c r="E69" i="16"/>
  <c r="I394" i="18" s="1"/>
  <c r="E67" i="17"/>
  <c r="F65" i="17"/>
  <c r="E65" i="17"/>
  <c r="E65" i="16"/>
  <c r="I390" i="18" s="1"/>
  <c r="E63" i="17"/>
  <c r="F62" i="17"/>
  <c r="F61" i="17"/>
  <c r="F61" i="16"/>
  <c r="E60" i="17"/>
  <c r="E59" i="17"/>
  <c r="F58" i="16"/>
  <c r="E58" i="16"/>
  <c r="I383" i="18" s="1"/>
  <c r="E57" i="16"/>
  <c r="I382" i="18" s="1"/>
  <c r="E55" i="17"/>
  <c r="F55" i="16"/>
  <c r="F54" i="16"/>
  <c r="F52" i="17"/>
  <c r="E53" i="16"/>
  <c r="I378" i="18" s="1"/>
  <c r="E51" i="17"/>
  <c r="F50" i="16"/>
  <c r="E49" i="17"/>
  <c r="F49" i="16"/>
  <c r="E49" i="16"/>
  <c r="I374" i="18" s="1"/>
  <c r="E47" i="17"/>
  <c r="F46" i="17"/>
  <c r="F45" i="17"/>
  <c r="E45" i="16"/>
  <c r="I370" i="18" s="1"/>
  <c r="E43" i="17"/>
  <c r="F42" i="16"/>
  <c r="E42" i="16"/>
  <c r="I367" i="18" s="1"/>
  <c r="F41" i="16"/>
  <c r="E41" i="16"/>
  <c r="I366" i="18" s="1"/>
  <c r="E40" i="16"/>
  <c r="I365" i="18" s="1"/>
  <c r="F38" i="17"/>
  <c r="F37" i="17"/>
  <c r="F36" i="17"/>
  <c r="E37" i="16"/>
  <c r="I362" i="18" s="1"/>
  <c r="E35" i="17"/>
  <c r="F34" i="16"/>
  <c r="E33" i="17"/>
  <c r="F33" i="16"/>
  <c r="E33" i="16"/>
  <c r="I358" i="18" s="1"/>
  <c r="E31" i="17"/>
  <c r="F30" i="17"/>
  <c r="F29" i="17"/>
  <c r="F29" i="16"/>
  <c r="E29" i="16"/>
  <c r="I354" i="18" s="1"/>
  <c r="E28" i="16"/>
  <c r="I353" i="18" s="1"/>
  <c r="F25" i="17"/>
  <c r="E25" i="17"/>
  <c r="E25" i="16"/>
  <c r="I350" i="18" s="1"/>
  <c r="E23" i="17"/>
  <c r="F22" i="17"/>
  <c r="F21" i="17"/>
  <c r="F20" i="17"/>
  <c r="E20" i="17"/>
  <c r="E19" i="17"/>
  <c r="F18" i="16"/>
  <c r="E18" i="16"/>
  <c r="I343" i="18" s="1"/>
  <c r="E17" i="16"/>
  <c r="I34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437" i="18"/>
  <c r="D44" i="20"/>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432" i="18" s="1"/>
  <c r="F105" i="16"/>
  <c r="F104" i="16"/>
  <c r="E104" i="16"/>
  <c r="I429" i="18" s="1"/>
  <c r="E103" i="16"/>
  <c r="I428" i="18" s="1"/>
  <c r="E102" i="16"/>
  <c r="I427" i="18" s="1"/>
  <c r="F101" i="16"/>
  <c r="F100" i="16"/>
  <c r="F99" i="16"/>
  <c r="E99" i="16"/>
  <c r="I424" i="18" s="1"/>
  <c r="F98" i="16"/>
  <c r="F97" i="16"/>
  <c r="F96" i="16"/>
  <c r="E96" i="16"/>
  <c r="I421" i="18" s="1"/>
  <c r="E95" i="16"/>
  <c r="I420" i="18" s="1"/>
  <c r="F94" i="16"/>
  <c r="E94" i="16"/>
  <c r="I419" i="18" s="1"/>
  <c r="F92" i="16"/>
  <c r="F91" i="16"/>
  <c r="E91" i="16"/>
  <c r="I416" i="18" s="1"/>
  <c r="F89" i="16"/>
  <c r="F88" i="16"/>
  <c r="E88" i="16"/>
  <c r="I413" i="18" s="1"/>
  <c r="E87" i="16"/>
  <c r="I412" i="18" s="1"/>
  <c r="E86" i="16"/>
  <c r="I411" i="18" s="1"/>
  <c r="F85" i="16"/>
  <c r="F84" i="16"/>
  <c r="F83" i="16"/>
  <c r="E83" i="16"/>
  <c r="I408" i="18" s="1"/>
  <c r="F82" i="16"/>
  <c r="F81" i="16"/>
  <c r="F80" i="16"/>
  <c r="E80" i="16"/>
  <c r="I405" i="18" s="1"/>
  <c r="E79" i="16"/>
  <c r="I404" i="18" s="1"/>
  <c r="F78" i="16"/>
  <c r="E78" i="16"/>
  <c r="I403" i="18" s="1"/>
  <c r="F76" i="16"/>
  <c r="F75" i="16"/>
  <c r="E75" i="16"/>
  <c r="I400" i="18" s="1"/>
  <c r="F73" i="16"/>
  <c r="F72" i="16"/>
  <c r="E72" i="16"/>
  <c r="I397" i="18" s="1"/>
  <c r="E71" i="16"/>
  <c r="I396" i="18" s="1"/>
  <c r="E70" i="16"/>
  <c r="I395" i="18" s="1"/>
  <c r="F69" i="16"/>
  <c r="F68" i="16"/>
  <c r="F67" i="16"/>
  <c r="E67" i="16"/>
  <c r="I392" i="18" s="1"/>
  <c r="F66" i="16"/>
  <c r="F65" i="16"/>
  <c r="F64" i="16"/>
  <c r="E64" i="16"/>
  <c r="I389" i="18" s="1"/>
  <c r="E63" i="16"/>
  <c r="I388" i="18" s="1"/>
  <c r="F62" i="16"/>
  <c r="E62" i="16"/>
  <c r="I387" i="18" s="1"/>
  <c r="F60" i="16"/>
  <c r="F59" i="16"/>
  <c r="E59" i="16"/>
  <c r="I384" i="18" s="1"/>
  <c r="F57" i="16"/>
  <c r="F56" i="16"/>
  <c r="E56" i="16"/>
  <c r="I381" i="18" s="1"/>
  <c r="E55" i="16"/>
  <c r="I380" i="18" s="1"/>
  <c r="E54" i="16"/>
  <c r="I379" i="18" s="1"/>
  <c r="F52" i="16"/>
  <c r="F51" i="16"/>
  <c r="E51" i="16"/>
  <c r="I376" i="18" s="1"/>
  <c r="F48" i="16"/>
  <c r="E47" i="16"/>
  <c r="I372" i="18" s="1"/>
  <c r="E46" i="16"/>
  <c r="I371" i="18" s="1"/>
  <c r="F45" i="16"/>
  <c r="F44" i="16"/>
  <c r="E44" i="16"/>
  <c r="I369" i="18" s="1"/>
  <c r="F43" i="16"/>
  <c r="E43" i="16"/>
  <c r="I368" i="18" s="1"/>
  <c r="F40" i="16"/>
  <c r="E39" i="16"/>
  <c r="I364" i="18" s="1"/>
  <c r="E38" i="16"/>
  <c r="I363" i="18" s="1"/>
  <c r="F37" i="16"/>
  <c r="F36" i="16"/>
  <c r="E36" i="16"/>
  <c r="I361" i="18" s="1"/>
  <c r="F35" i="16"/>
  <c r="E35" i="16"/>
  <c r="I360" i="18" s="1"/>
  <c r="F32" i="16"/>
  <c r="E32" i="16"/>
  <c r="I357" i="18" s="1"/>
  <c r="E31" i="16"/>
  <c r="I356" i="18" s="1"/>
  <c r="E30" i="16"/>
  <c r="I355" i="18" s="1"/>
  <c r="F28" i="16"/>
  <c r="F27" i="16"/>
  <c r="E27" i="16"/>
  <c r="I352" i="18" s="1"/>
  <c r="F25" i="16"/>
  <c r="F24" i="16"/>
  <c r="E24" i="16"/>
  <c r="I349" i="18" s="1"/>
  <c r="E23" i="16"/>
  <c r="I348" i="18" s="1"/>
  <c r="E22" i="16"/>
  <c r="I347" i="18" s="1"/>
  <c r="F21" i="16"/>
  <c r="E21" i="16"/>
  <c r="I346" i="18" s="1"/>
  <c r="F20" i="16"/>
  <c r="F19" i="16"/>
  <c r="E19" i="16"/>
  <c r="I344" i="18" s="1"/>
  <c r="F17" i="16"/>
  <c r="F16" i="16"/>
  <c r="E15" i="16"/>
  <c r="I340" i="18" s="1"/>
  <c r="E14" i="16"/>
  <c r="I339" i="18" s="1"/>
  <c r="D12" i="17"/>
  <c r="F12" i="16"/>
  <c r="S188" i="9"/>
  <c r="Q188" i="9"/>
  <c r="D214" i="20"/>
  <c r="I329" i="18"/>
  <c r="H150" i="13"/>
  <c r="F11" i="8"/>
  <c r="E11" i="8"/>
  <c r="F12" i="1"/>
  <c r="D11" i="8"/>
  <c r="D13" i="17"/>
  <c r="E13" i="16"/>
  <c r="I338" i="18" s="1"/>
  <c r="E77" i="16"/>
  <c r="I402" i="18" s="1"/>
  <c r="E93" i="16"/>
  <c r="I418" i="18" s="1"/>
  <c r="E26" i="16"/>
  <c r="I351" i="18" s="1"/>
  <c r="F26" i="16"/>
  <c r="E48" i="16"/>
  <c r="I373" i="18" s="1"/>
  <c r="E61" i="16"/>
  <c r="I386" i="18" s="1"/>
  <c r="F23" i="16"/>
  <c r="F31" i="16"/>
  <c r="F17" i="17"/>
  <c r="E28" i="17"/>
  <c r="F33" i="17"/>
  <c r="E39" i="17"/>
  <c r="E44" i="17"/>
  <c r="F49" i="17"/>
  <c r="E16" i="16"/>
  <c r="I341" i="18" s="1"/>
  <c r="E34" i="16"/>
  <c r="I359" i="18" s="1"/>
  <c r="F53" i="16"/>
  <c r="E36" i="17"/>
  <c r="F41" i="17"/>
  <c r="E52" i="17"/>
  <c r="F57" i="17"/>
  <c r="E68" i="17"/>
  <c r="F73" i="17"/>
  <c r="E84" i="17"/>
  <c r="F89" i="17"/>
  <c r="E100" i="17"/>
  <c r="F105" i="17"/>
  <c r="F22" i="16"/>
  <c r="F63" i="16"/>
  <c r="F79" i="16"/>
  <c r="F95" i="16"/>
  <c r="F38" i="16"/>
  <c r="F47" i="16"/>
  <c r="E50" i="16"/>
  <c r="I375" i="18" s="1"/>
  <c r="E20" i="16"/>
  <c r="I345" i="18" s="1"/>
  <c r="E60" i="16"/>
  <c r="I385" i="18" s="1"/>
  <c r="E66" i="16"/>
  <c r="I391" i="18" s="1"/>
  <c r="E76" i="16"/>
  <c r="I401" i="18" s="1"/>
  <c r="E82" i="16"/>
  <c r="I407" i="18" s="1"/>
  <c r="E92" i="16"/>
  <c r="I417" i="18" s="1"/>
  <c r="E98" i="16"/>
  <c r="I423" i="18" s="1"/>
  <c r="E108" i="16"/>
  <c r="I433" i="18" s="1"/>
  <c r="E17" i="17"/>
  <c r="E41" i="17"/>
  <c r="E57" i="17"/>
  <c r="E73" i="17"/>
  <c r="E89" i="17"/>
  <c r="E105" i="17"/>
  <c r="F13" i="17"/>
  <c r="F53" i="17"/>
  <c r="F85" i="17"/>
  <c r="F39" i="16"/>
  <c r="F70" i="16"/>
  <c r="F102" i="16"/>
  <c r="E12" i="16"/>
  <c r="I337" i="18" s="1"/>
  <c r="F30" i="16"/>
  <c r="E52" i="16"/>
  <c r="I377" i="18" s="1"/>
  <c r="F14" i="17"/>
  <c r="F54" i="17"/>
  <c r="F70" i="17"/>
  <c r="F86" i="17"/>
  <c r="F102" i="17"/>
  <c r="F46" i="16"/>
  <c r="E68" i="16"/>
  <c r="I393" i="18" s="1"/>
  <c r="E84" i="16"/>
  <c r="I409" i="18" s="1"/>
  <c r="E100" i="16"/>
  <c r="I425" i="18" s="1"/>
  <c r="E27" i="17"/>
  <c r="F109" i="17"/>
  <c r="B3" i="18"/>
  <c r="G9" i="37" s="1"/>
  <c r="B3" i="17"/>
  <c r="B3" i="13"/>
  <c r="B3" i="9"/>
  <c r="D12" i="8"/>
  <c r="D14" i="17"/>
  <c r="D16" i="8"/>
  <c r="D21" i="17"/>
  <c r="D25" i="17"/>
  <c r="D29" i="17"/>
  <c r="D33" i="17"/>
  <c r="D37" i="17"/>
  <c r="D41" i="17"/>
  <c r="D45" i="17"/>
  <c r="D49" i="17"/>
  <c r="D53" i="17"/>
  <c r="D57" i="17"/>
  <c r="AA29" i="19" l="1"/>
  <c r="AA181" i="19" s="1"/>
  <c r="H197" i="18"/>
  <c r="AA27" i="19"/>
  <c r="AA179" i="19" s="1"/>
  <c r="H195" i="18"/>
  <c r="AA25" i="19"/>
  <c r="AA177" i="19" s="1"/>
  <c r="H193" i="18"/>
  <c r="AA22" i="19"/>
  <c r="AA174" i="19" s="1"/>
  <c r="AH174" i="19" s="1"/>
  <c r="H190" i="18"/>
  <c r="AA21" i="19"/>
  <c r="AA173" i="19" s="1"/>
  <c r="AH173" i="19" s="1"/>
  <c r="H189" i="18"/>
  <c r="AA20" i="19"/>
  <c r="AA172" i="19" s="1"/>
  <c r="AH172" i="19" s="1"/>
  <c r="H188" i="18"/>
  <c r="AA14" i="19"/>
  <c r="AA166" i="19" s="1"/>
  <c r="AH166" i="19" s="1"/>
  <c r="H182" i="18"/>
  <c r="AA13" i="19"/>
  <c r="AA165" i="19" s="1"/>
  <c r="AH165" i="19" s="1"/>
  <c r="H181" i="18"/>
  <c r="AA34" i="19"/>
  <c r="AA186" i="19" s="1"/>
  <c r="H202" i="18"/>
  <c r="AA33" i="19"/>
  <c r="AA185" i="19" s="1"/>
  <c r="AH185" i="19" s="1"/>
  <c r="H201" i="18"/>
  <c r="AA28" i="19"/>
  <c r="AA180" i="19" s="1"/>
  <c r="H196" i="18"/>
  <c r="AA31" i="19"/>
  <c r="AA183" i="19" s="1"/>
  <c r="H199" i="18"/>
  <c r="AE23" i="19"/>
  <c r="T167" i="18"/>
  <c r="T171" i="18" s="1"/>
  <c r="K165" i="19"/>
  <c r="D77" i="18"/>
  <c r="AD27" i="19"/>
  <c r="AF16" i="19"/>
  <c r="AG30" i="19"/>
  <c r="AD170" i="19"/>
  <c r="I313" i="18"/>
  <c r="K179" i="19"/>
  <c r="K170" i="19"/>
  <c r="K169" i="19"/>
  <c r="K176" i="19"/>
  <c r="K168" i="19"/>
  <c r="K184" i="19"/>
  <c r="K219" i="19"/>
  <c r="K177" i="19"/>
  <c r="K248" i="19"/>
  <c r="K223" i="19"/>
  <c r="K193" i="19"/>
  <c r="AF25" i="19"/>
  <c r="AG27" i="19"/>
  <c r="AD26" i="19"/>
  <c r="AD30" i="19"/>
  <c r="I325" i="18"/>
  <c r="I297" i="9"/>
  <c r="B17" i="36"/>
  <c r="K206" i="19"/>
  <c r="K181" i="19"/>
  <c r="K172" i="19"/>
  <c r="K164" i="19"/>
  <c r="K210" i="19"/>
  <c r="K197" i="19"/>
  <c r="K182" i="19"/>
  <c r="K178" i="19"/>
  <c r="K174" i="19"/>
  <c r="K166" i="19"/>
  <c r="AC34" i="19"/>
  <c r="Q186" i="19"/>
  <c r="AC186" i="19" s="1"/>
  <c r="AC26" i="19"/>
  <c r="Q178" i="19"/>
  <c r="AC178" i="19" s="1"/>
  <c r="AC18" i="19"/>
  <c r="Q170" i="19"/>
  <c r="AC170" i="19" s="1"/>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9" i="20" s="1"/>
  <c r="B15" i="36"/>
  <c r="AH183"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3" i="19"/>
  <c r="G305" i="19" s="1"/>
  <c r="AH181" i="19"/>
  <c r="AH182"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3" i="20"/>
  <c r="D43" i="20"/>
  <c r="D54" i="20" s="1"/>
  <c r="C328" i="20" s="1"/>
  <c r="E48" i="37" s="1"/>
  <c r="B27" i="36"/>
  <c r="AC31" i="19"/>
  <c r="Q183" i="19"/>
  <c r="AC183" i="19" s="1"/>
  <c r="AC23" i="19"/>
  <c r="Q175" i="19"/>
  <c r="AC175" i="19" s="1"/>
  <c r="AC15" i="19"/>
  <c r="Q167" i="19"/>
  <c r="AC167" i="19" s="1"/>
  <c r="U11" i="19"/>
  <c r="K171" i="19"/>
  <c r="H11" i="19"/>
  <c r="H163" i="19" s="1"/>
  <c r="K163" i="19" s="1"/>
  <c r="B25" i="36"/>
  <c r="AG163" i="19"/>
  <c r="B19" i="36"/>
  <c r="AH171"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9" i="20"/>
  <c r="D234" i="20" s="1"/>
  <c r="L163" i="19"/>
  <c r="AG170" i="19"/>
  <c r="AF170" i="19"/>
  <c r="K292" i="19"/>
  <c r="K288" i="19"/>
  <c r="K278" i="19"/>
  <c r="K274" i="19"/>
  <c r="K270" i="19"/>
  <c r="K259" i="19"/>
  <c r="K255" i="19"/>
  <c r="K251" i="19"/>
  <c r="K246" i="19"/>
  <c r="K242" i="19"/>
  <c r="K238" i="19"/>
  <c r="K234" i="19"/>
  <c r="K230" i="19"/>
  <c r="K226" i="19"/>
  <c r="K213" i="19"/>
  <c r="K191" i="19"/>
  <c r="D107" i="20"/>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68" i="19"/>
  <c r="K298" i="19"/>
  <c r="K293" i="19"/>
  <c r="K289" i="19"/>
  <c r="K279" i="19"/>
  <c r="K275" i="19"/>
  <c r="K271" i="19"/>
  <c r="K266" i="19"/>
  <c r="K261" i="19"/>
  <c r="K256" i="19"/>
  <c r="K252" i="19"/>
  <c r="K243" i="19"/>
  <c r="K239" i="19"/>
  <c r="K235" i="19"/>
  <c r="K231" i="19"/>
  <c r="K227" i="19"/>
  <c r="K214" i="19"/>
  <c r="K192" i="19"/>
  <c r="K183" i="19"/>
  <c r="K304" i="19"/>
  <c r="D319" i="20"/>
  <c r="D391" i="20"/>
  <c r="AH179" i="19"/>
  <c r="AH180" i="19"/>
  <c r="AH177" i="19"/>
  <c r="C109" i="20"/>
  <c r="AF186" i="19"/>
  <c r="AF176" i="19" s="1"/>
  <c r="C108" i="20"/>
  <c r="AG186" i="19"/>
  <c r="AG176" i="19" s="1"/>
  <c r="C106" i="20"/>
  <c r="AE186" i="19"/>
  <c r="AE176" i="19" s="1"/>
  <c r="AH164" i="19"/>
  <c r="C107" i="20"/>
  <c r="AD186" i="19"/>
  <c r="AD176" i="19" s="1"/>
  <c r="AE19" i="19"/>
  <c r="AF12" i="19"/>
  <c r="AG20" i="19"/>
  <c r="AF31" i="19"/>
  <c r="AD15" i="19"/>
  <c r="AG19" i="19"/>
  <c r="AG21" i="19"/>
  <c r="AF20" i="19"/>
  <c r="K87" i="19"/>
  <c r="AG22" i="19"/>
  <c r="L56" i="19"/>
  <c r="AD20" i="19"/>
  <c r="AE33" i="19"/>
  <c r="AF13" i="19"/>
  <c r="AE17" i="19"/>
  <c r="AF33" i="19"/>
  <c r="AG14" i="19"/>
  <c r="AF17" i="19"/>
  <c r="AF26" i="19"/>
  <c r="AD34" i="19"/>
  <c r="AD29" i="19"/>
  <c r="AH23" i="19"/>
  <c r="AE13" i="19"/>
  <c r="AE15" i="19"/>
  <c r="AD17" i="19"/>
  <c r="AG31" i="19"/>
  <c r="AG15" i="19"/>
  <c r="D56" i="17"/>
  <c r="D44" i="17"/>
  <c r="D32" i="17"/>
  <c r="D24" i="17"/>
  <c r="D17" i="17"/>
  <c r="I321" i="18"/>
  <c r="AD21" i="19"/>
  <c r="AG28" i="19"/>
  <c r="AD33" i="19"/>
  <c r="D51" i="17"/>
  <c r="D39" i="17"/>
  <c r="D23" i="17"/>
  <c r="D52" i="17"/>
  <c r="D48" i="17"/>
  <c r="D40" i="17"/>
  <c r="D36" i="17"/>
  <c r="D28" i="17"/>
  <c r="D20" i="17"/>
  <c r="AF15" i="19"/>
  <c r="D59" i="17"/>
  <c r="D55" i="17"/>
  <c r="D47" i="17"/>
  <c r="D43" i="17"/>
  <c r="D35" i="17"/>
  <c r="D31" i="17"/>
  <c r="D27" i="17"/>
  <c r="D19" i="17"/>
  <c r="D16" i="17"/>
  <c r="I317" i="18"/>
  <c r="AE32" i="19"/>
  <c r="AH29" i="19"/>
  <c r="D58" i="17"/>
  <c r="D54" i="17"/>
  <c r="D50" i="17"/>
  <c r="D46" i="17"/>
  <c r="D42" i="17"/>
  <c r="D38" i="17"/>
  <c r="D34" i="17"/>
  <c r="D30" i="17"/>
  <c r="D26" i="17"/>
  <c r="D22" i="17"/>
  <c r="D18" i="17"/>
  <c r="D15" i="17"/>
  <c r="I299" i="9"/>
  <c r="E386" i="20"/>
  <c r="AD13" i="19"/>
  <c r="AG16" i="19"/>
  <c r="AF27" i="19"/>
  <c r="AF32" i="19"/>
  <c r="AF22" i="19"/>
  <c r="AE28" i="19"/>
  <c r="AH26" i="19"/>
  <c r="L64" i="19"/>
  <c r="K33" i="19"/>
  <c r="D29" i="20"/>
  <c r="D235" i="20"/>
  <c r="AF21" i="19"/>
  <c r="AE30" i="19"/>
  <c r="Z18" i="19"/>
  <c r="Z170" i="19" s="1"/>
  <c r="AH19" i="19"/>
  <c r="AG34" i="19"/>
  <c r="D385" i="20"/>
  <c r="I35" i="37" s="1"/>
  <c r="W18" i="19"/>
  <c r="W170" i="19" s="1"/>
  <c r="AE16" i="19"/>
  <c r="AD19" i="19"/>
  <c r="AH30" i="19"/>
  <c r="L40" i="19"/>
  <c r="D238" i="20"/>
  <c r="D241" i="20"/>
  <c r="D243" i="20"/>
  <c r="D32" i="20"/>
  <c r="D26" i="20"/>
  <c r="T24" i="19"/>
  <c r="AE21" i="19"/>
  <c r="AG25" i="19"/>
  <c r="AE27" i="19"/>
  <c r="AH16" i="19"/>
  <c r="AH32" i="19"/>
  <c r="AF34" i="19"/>
  <c r="S11" i="19"/>
  <c r="AG29" i="19"/>
  <c r="AE31" i="19"/>
  <c r="AD16" i="19"/>
  <c r="AG17" i="19"/>
  <c r="AG33" i="19"/>
  <c r="AH31" i="19"/>
  <c r="L38" i="19"/>
  <c r="L47" i="19"/>
  <c r="L11" i="19"/>
  <c r="L44" i="19"/>
  <c r="D240" i="20"/>
  <c r="D134" i="20"/>
  <c r="D237" i="20"/>
  <c r="D131" i="20"/>
  <c r="I319" i="9"/>
  <c r="I326" i="18"/>
  <c r="I310" i="18"/>
  <c r="I322" i="18"/>
  <c r="I330" i="18"/>
  <c r="R193" i="27"/>
  <c r="C43" i="20"/>
  <c r="R152" i="26"/>
  <c r="C149" i="20"/>
  <c r="C130" i="20"/>
  <c r="C135" i="20"/>
  <c r="C240" i="20" s="1"/>
  <c r="C29" i="20"/>
  <c r="C144" i="20"/>
  <c r="C136" i="20"/>
  <c r="C133" i="20"/>
  <c r="C132" i="20"/>
  <c r="C237" i="20" s="1"/>
  <c r="C26" i="20"/>
  <c r="L54" i="19"/>
  <c r="L26" i="19"/>
  <c r="L12" i="19"/>
  <c r="L48" i="19"/>
  <c r="L52" i="19"/>
  <c r="L106" i="19"/>
  <c r="L25" i="19"/>
  <c r="L42" i="19"/>
  <c r="L125" i="19"/>
  <c r="L32" i="19"/>
  <c r="K133" i="19"/>
  <c r="K65" i="19"/>
  <c r="K19" i="19"/>
  <c r="K77" i="19"/>
  <c r="K56" i="19"/>
  <c r="K22" i="19"/>
  <c r="K30" i="19"/>
  <c r="K95" i="19"/>
  <c r="K72" i="19"/>
  <c r="K59" i="19"/>
  <c r="K42" i="19"/>
  <c r="K152" i="19"/>
  <c r="K147" i="19"/>
  <c r="K120" i="19"/>
  <c r="K51" i="19"/>
  <c r="K121" i="19"/>
  <c r="K68" i="19"/>
  <c r="H151" i="19"/>
  <c r="K134" i="19"/>
  <c r="K122" i="19"/>
  <c r="L121" i="19"/>
  <c r="L110" i="19"/>
  <c r="L45" i="19"/>
  <c r="L27" i="19"/>
  <c r="L65" i="19"/>
  <c r="L30" i="19"/>
  <c r="L23" i="19"/>
  <c r="L43" i="19"/>
  <c r="L33" i="19"/>
  <c r="L29" i="19"/>
  <c r="I308" i="9"/>
  <c r="I311" i="18"/>
  <c r="K104" i="19"/>
  <c r="I331" i="18"/>
  <c r="I300" i="9"/>
  <c r="K20" i="19"/>
  <c r="K108" i="19"/>
  <c r="K98" i="19"/>
  <c r="K53" i="19"/>
  <c r="K35" i="19"/>
  <c r="I319" i="18"/>
  <c r="K93" i="19"/>
  <c r="I327" i="18"/>
  <c r="K16" i="19"/>
  <c r="K81" i="19"/>
  <c r="K47" i="19"/>
  <c r="K37" i="19"/>
  <c r="K112" i="19"/>
  <c r="K57" i="19"/>
  <c r="D14" i="8"/>
  <c r="K12" i="19"/>
  <c r="I305" i="9"/>
  <c r="I317" i="9"/>
  <c r="K74" i="19"/>
  <c r="I318" i="18"/>
  <c r="I333" i="18"/>
  <c r="K90" i="19"/>
  <c r="K67" i="19"/>
  <c r="K49" i="19"/>
  <c r="K43" i="19"/>
  <c r="K40" i="19"/>
  <c r="D13" i="8"/>
  <c r="I316" i="18"/>
  <c r="I313" i="9"/>
  <c r="K75" i="19"/>
  <c r="K69" i="19"/>
  <c r="K63" i="19"/>
  <c r="K109" i="19"/>
  <c r="K107" i="19"/>
  <c r="K26" i="19"/>
  <c r="I309" i="9"/>
  <c r="K97" i="19"/>
  <c r="K32" i="19"/>
  <c r="K31" i="19"/>
  <c r="D15" i="8"/>
  <c r="D13" i="26"/>
  <c r="D15" i="25"/>
  <c r="V153" i="25"/>
  <c r="D12" i="26"/>
  <c r="D233" i="20"/>
  <c r="D62" i="16"/>
  <c r="D60" i="17"/>
  <c r="K131" i="19"/>
  <c r="AH28" i="19"/>
  <c r="K27" i="19"/>
  <c r="K115" i="19"/>
  <c r="T18" i="19"/>
  <c r="AD28" i="19"/>
  <c r="G151" i="19"/>
  <c r="L21" i="19"/>
  <c r="AG13" i="19"/>
  <c r="AG23" i="19"/>
  <c r="K124" i="19"/>
  <c r="K123" i="19"/>
  <c r="K103" i="19"/>
  <c r="L94" i="19"/>
  <c r="K91" i="19"/>
  <c r="K80" i="19"/>
  <c r="K73" i="19"/>
  <c r="K55" i="19"/>
  <c r="K45" i="19"/>
  <c r="S18" i="19"/>
  <c r="AH12" i="19"/>
  <c r="AE12" i="19"/>
  <c r="AD22" i="19"/>
  <c r="AF28" i="19"/>
  <c r="AD32" i="19"/>
  <c r="Z11" i="19"/>
  <c r="Z163" i="19" s="1"/>
  <c r="AE14" i="19"/>
  <c r="Y11" i="19"/>
  <c r="Y163" i="19" s="1"/>
  <c r="AE20" i="19"/>
  <c r="AE26" i="19"/>
  <c r="AF29" i="19"/>
  <c r="AD31" i="19"/>
  <c r="Z24" i="19"/>
  <c r="Z176" i="19" s="1"/>
  <c r="D21" i="1"/>
  <c r="D22" i="1" s="1"/>
  <c r="K149" i="19"/>
  <c r="L131" i="19"/>
  <c r="K125" i="19"/>
  <c r="K110" i="19"/>
  <c r="L98" i="19"/>
  <c r="L144" i="19"/>
  <c r="K126" i="19"/>
  <c r="K116" i="19"/>
  <c r="K114" i="19"/>
  <c r="L95" i="19"/>
  <c r="K48" i="19"/>
  <c r="K44" i="19"/>
  <c r="W11" i="19"/>
  <c r="W163" i="19" s="1"/>
  <c r="AF30" i="19"/>
  <c r="AH17" i="19"/>
  <c r="L22" i="19"/>
  <c r="L19" i="19"/>
  <c r="L16" i="19"/>
  <c r="K88" i="19"/>
  <c r="K82" i="19"/>
  <c r="L63" i="19"/>
  <c r="K61" i="19"/>
  <c r="L53" i="19"/>
  <c r="L31" i="19"/>
  <c r="L14" i="19"/>
  <c r="K21" i="19"/>
  <c r="L134" i="19"/>
  <c r="K130" i="19"/>
  <c r="K99" i="19"/>
  <c r="L71" i="19"/>
  <c r="L67" i="19"/>
  <c r="L58" i="19"/>
  <c r="L50" i="19"/>
  <c r="D18" i="8"/>
  <c r="AF19" i="19"/>
  <c r="K15"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6" i="19"/>
  <c r="V18" i="19"/>
  <c r="X24" i="19"/>
  <c r="X176" i="19" s="1"/>
  <c r="X18" i="19"/>
  <c r="X170" i="19" s="1"/>
  <c r="AH15" i="19"/>
  <c r="V153" i="16"/>
  <c r="X11" i="19"/>
  <c r="X163" i="19" s="1"/>
  <c r="AD12" i="19"/>
  <c r="D16" i="25"/>
  <c r="D14" i="26"/>
  <c r="AH27" i="19"/>
  <c r="W24" i="19"/>
  <c r="W176" i="19" s="1"/>
  <c r="Y24" i="19"/>
  <c r="Y176" i="19" s="1"/>
  <c r="R18" i="19"/>
  <c r="AG12" i="19"/>
  <c r="R152" i="17"/>
  <c r="U24" i="19"/>
  <c r="AG26" i="19"/>
  <c r="AF14" i="19"/>
  <c r="T11" i="19"/>
  <c r="U18" i="19"/>
  <c r="AF23" i="19"/>
  <c r="Y18" i="19"/>
  <c r="Y170" i="19" s="1"/>
  <c r="AG32" i="19"/>
  <c r="K25" i="19"/>
  <c r="K13" i="19"/>
  <c r="K18" i="19"/>
  <c r="F175" i="17"/>
  <c r="F176" i="17" s="1"/>
  <c r="F177" i="17" s="1"/>
  <c r="B28" i="36" s="1"/>
  <c r="J151" i="19"/>
  <c r="K29" i="19"/>
  <c r="K17" i="19"/>
  <c r="K24" i="19"/>
  <c r="L13" i="19"/>
  <c r="L20" i="19"/>
  <c r="L96" i="19"/>
  <c r="K96" i="19"/>
  <c r="R203" i="18"/>
  <c r="R172" i="18" s="1"/>
  <c r="D12" i="15"/>
  <c r="L113" i="19"/>
  <c r="K76" i="19"/>
  <c r="K129" i="19"/>
  <c r="I151" i="19"/>
  <c r="F175" i="8"/>
  <c r="F176" i="8" s="1"/>
  <c r="F177" i="8" s="1"/>
  <c r="B23" i="36"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AH21" i="19" l="1"/>
  <c r="AH22" i="19"/>
  <c r="H203" i="18"/>
  <c r="AA24" i="19"/>
  <c r="AA176" i="19" s="1"/>
  <c r="AH33" i="19"/>
  <c r="AA18" i="19"/>
  <c r="AA170" i="19" s="1"/>
  <c r="AH13" i="19"/>
  <c r="AH20" i="19"/>
  <c r="AH18" i="19" s="1"/>
  <c r="AA11" i="19"/>
  <c r="AA163" i="19" s="1"/>
  <c r="AA187" i="19" s="1"/>
  <c r="AH186" i="19"/>
  <c r="R162" i="27"/>
  <c r="D82" i="18"/>
  <c r="D318" i="20"/>
  <c r="D110" i="20"/>
  <c r="C331" i="20" s="1"/>
  <c r="E51" i="37" s="1"/>
  <c r="AE187" i="19"/>
  <c r="K11" i="19"/>
  <c r="AH170" i="19"/>
  <c r="AD187" i="19"/>
  <c r="AG187" i="19"/>
  <c r="D20" i="8"/>
  <c r="V170" i="19"/>
  <c r="J153" i="19"/>
  <c r="J303" i="19"/>
  <c r="AF187" i="19"/>
  <c r="H305" i="19"/>
  <c r="AH163" i="19"/>
  <c r="H153" i="19"/>
  <c r="H303" i="19"/>
  <c r="K303" i="19" s="1"/>
  <c r="K305" i="19" s="1"/>
  <c r="V163" i="19"/>
  <c r="V176" i="19"/>
  <c r="E385" i="20"/>
  <c r="J35" i="37" s="1"/>
  <c r="C211" i="20"/>
  <c r="C386" i="20" s="1"/>
  <c r="H36" i="37" s="1"/>
  <c r="E29" i="20"/>
  <c r="E26" i="20"/>
  <c r="C234" i="20"/>
  <c r="D40" i="20"/>
  <c r="C385" i="20"/>
  <c r="H35" i="37" s="1"/>
  <c r="C235" i="20"/>
  <c r="C213" i="20"/>
  <c r="C318" i="20" s="1"/>
  <c r="C212" i="20"/>
  <c r="C317" i="20" s="1"/>
  <c r="C214" i="20"/>
  <c r="C319" i="20" s="1"/>
  <c r="E54" i="20"/>
  <c r="Y187" i="19"/>
  <c r="X187" i="19"/>
  <c r="W187" i="19"/>
  <c r="Z187" i="19"/>
  <c r="AH178" i="19"/>
  <c r="C110" i="20"/>
  <c r="AG18" i="19"/>
  <c r="F385" i="20"/>
  <c r="K35" i="37" s="1"/>
  <c r="C238" i="20"/>
  <c r="C241" i="20"/>
  <c r="F386" i="20"/>
  <c r="E32" i="20"/>
  <c r="F26" i="20"/>
  <c r="AF11" i="19"/>
  <c r="Z35" i="19"/>
  <c r="C249" i="20"/>
  <c r="C254" i="20"/>
  <c r="C40" i="20"/>
  <c r="D239" i="20"/>
  <c r="W35" i="19"/>
  <c r="AF24" i="19"/>
  <c r="AE18" i="19"/>
  <c r="AD18" i="19"/>
  <c r="D236" i="20"/>
  <c r="AF18" i="19"/>
  <c r="T35" i="19"/>
  <c r="AE11" i="19"/>
  <c r="C148" i="20"/>
  <c r="C54" i="20"/>
  <c r="C134" i="20"/>
  <c r="C131" i="20"/>
  <c r="K151" i="19"/>
  <c r="L151" i="19"/>
  <c r="U35" i="19"/>
  <c r="D13" i="13"/>
  <c r="AG11" i="19"/>
  <c r="Y35" i="19"/>
  <c r="D63" i="16"/>
  <c r="D61" i="17"/>
  <c r="AG24" i="19"/>
  <c r="E23" i="20"/>
  <c r="E389" i="20" s="1"/>
  <c r="J38" i="37" s="1"/>
  <c r="D17" i="25"/>
  <c r="D15" i="26"/>
  <c r="X35" i="19"/>
  <c r="D13" i="15"/>
  <c r="D23" i="1"/>
  <c r="D21" i="8"/>
  <c r="AH176" i="19" l="1"/>
  <c r="AH187" i="19" s="1"/>
  <c r="AA35" i="19"/>
  <c r="V187" i="19"/>
  <c r="D87" i="18"/>
  <c r="E110" i="20"/>
  <c r="L303" i="19"/>
  <c r="L305" i="19" s="1"/>
  <c r="J305" i="19"/>
  <c r="C316" i="20"/>
  <c r="F54" i="20"/>
  <c r="G54" i="20"/>
  <c r="G110" i="20"/>
  <c r="D399" i="20"/>
  <c r="I26" i="37" s="1"/>
  <c r="C327" i="20"/>
  <c r="C253" i="20"/>
  <c r="C236" i="20"/>
  <c r="E391" i="20"/>
  <c r="C239" i="20"/>
  <c r="C145" i="20"/>
  <c r="C387" i="20"/>
  <c r="C215" i="20"/>
  <c r="C320" i="20" s="1"/>
  <c r="AG35" i="19"/>
  <c r="AF35" i="19"/>
  <c r="G32" i="20"/>
  <c r="G26" i="20"/>
  <c r="G385" i="20"/>
  <c r="L35" i="37" s="1"/>
  <c r="F29" i="20"/>
  <c r="F32" i="20"/>
  <c r="G386" i="20"/>
  <c r="C399" i="20"/>
  <c r="H26" i="37" s="1"/>
  <c r="C159" i="20"/>
  <c r="E40" i="20"/>
  <c r="D64" i="16"/>
  <c r="D62" i="17"/>
  <c r="D14" i="13"/>
  <c r="D14" i="15"/>
  <c r="D24" i="1"/>
  <c r="D22" i="8"/>
  <c r="D16" i="26"/>
  <c r="D18" i="25"/>
  <c r="D92" i="18" l="1"/>
  <c r="C394" i="20"/>
  <c r="H42" i="37" s="1"/>
  <c r="C329" i="20"/>
  <c r="E49" i="37" s="1"/>
  <c r="E47" i="37"/>
  <c r="C264" i="20"/>
  <c r="E328" i="20"/>
  <c r="I48" i="37" s="1"/>
  <c r="C250" i="20"/>
  <c r="G387" i="20"/>
  <c r="H386" i="20"/>
  <c r="H385" i="20"/>
  <c r="E331" i="20"/>
  <c r="I51" i="37" s="1"/>
  <c r="I32" i="20"/>
  <c r="G29" i="20"/>
  <c r="E399" i="20"/>
  <c r="J26" i="37" s="1"/>
  <c r="C400" i="20"/>
  <c r="H27" i="37" s="1"/>
  <c r="D15" i="13"/>
  <c r="D65" i="16"/>
  <c r="D63" i="17"/>
  <c r="F23" i="20"/>
  <c r="F389" i="20" s="1"/>
  <c r="K38" i="37" s="1"/>
  <c r="D15" i="15"/>
  <c r="D25" i="1"/>
  <c r="D23" i="8"/>
  <c r="D17" i="26"/>
  <c r="D19" i="25"/>
  <c r="D97" i="18" l="1"/>
  <c r="D102" i="18" s="1"/>
  <c r="H110" i="20"/>
  <c r="C401" i="20"/>
  <c r="F391" i="20"/>
  <c r="K32" i="20"/>
  <c r="H387" i="20"/>
  <c r="I386" i="20"/>
  <c r="I54" i="20"/>
  <c r="I385" i="20"/>
  <c r="I110" i="20"/>
  <c r="I26" i="20"/>
  <c r="J32" i="20"/>
  <c r="E400" i="20"/>
  <c r="E394" i="20"/>
  <c r="F40" i="20"/>
  <c r="D66" i="16"/>
  <c r="D64" i="17"/>
  <c r="D16" i="13"/>
  <c r="G23" i="20"/>
  <c r="G389" i="20" s="1"/>
  <c r="L38" i="37" s="1"/>
  <c r="D16" i="15"/>
  <c r="D20" i="25"/>
  <c r="D18" i="26"/>
  <c r="D26" i="1"/>
  <c r="D24" i="8"/>
  <c r="D107" i="18" l="1"/>
  <c r="G391" i="20"/>
  <c r="E401" i="20"/>
  <c r="I387" i="20"/>
  <c r="J26" i="20"/>
  <c r="F400" i="20"/>
  <c r="F394" i="20"/>
  <c r="H393" i="20"/>
  <c r="J29" i="20"/>
  <c r="L32" i="20"/>
  <c r="J54" i="20"/>
  <c r="I29" i="20"/>
  <c r="J385" i="20"/>
  <c r="J110" i="20"/>
  <c r="J386" i="20"/>
  <c r="F399" i="20"/>
  <c r="K26" i="37" s="1"/>
  <c r="G40" i="20"/>
  <c r="D17" i="13"/>
  <c r="D67" i="16"/>
  <c r="D65" i="17"/>
  <c r="D27" i="1"/>
  <c r="D25" i="8"/>
  <c r="D21" i="25"/>
  <c r="D19" i="26"/>
  <c r="D17" i="15"/>
  <c r="D162" i="18" l="1"/>
  <c r="D167" i="18" s="1"/>
  <c r="K386" i="20"/>
  <c r="L29" i="20"/>
  <c r="K29" i="20"/>
  <c r="H399" i="20"/>
  <c r="K26" i="20"/>
  <c r="M32" i="20"/>
  <c r="K385" i="20"/>
  <c r="K110" i="20"/>
  <c r="I40" i="20"/>
  <c r="I393" i="20" s="1"/>
  <c r="G400" i="20"/>
  <c r="G394" i="20"/>
  <c r="K54" i="20"/>
  <c r="J40" i="20"/>
  <c r="J393" i="20" s="1"/>
  <c r="F401" i="20"/>
  <c r="J387" i="20"/>
  <c r="G399" i="20"/>
  <c r="L26" i="37" s="1"/>
  <c r="E327" i="20"/>
  <c r="D68" i="16"/>
  <c r="D66" i="17"/>
  <c r="D18" i="13"/>
  <c r="D22" i="25"/>
  <c r="D20" i="26"/>
  <c r="D18" i="15"/>
  <c r="D26" i="8"/>
  <c r="D28" i="1"/>
  <c r="E329" i="20" l="1"/>
  <c r="I49" i="37" s="1"/>
  <c r="I47" i="37"/>
  <c r="K387" i="20"/>
  <c r="G401" i="20"/>
  <c r="M29" i="20"/>
  <c r="J399" i="20"/>
  <c r="L26" i="20"/>
  <c r="L40" i="20" s="1"/>
  <c r="L393" i="20" s="1"/>
  <c r="L386" i="20"/>
  <c r="L54" i="20"/>
  <c r="I399" i="20"/>
  <c r="L385" i="20"/>
  <c r="L110" i="20"/>
  <c r="H400" i="20"/>
  <c r="H394" i="20"/>
  <c r="K40" i="20"/>
  <c r="K393" i="20" s="1"/>
  <c r="D19" i="13"/>
  <c r="D69" i="16"/>
  <c r="D67" i="17"/>
  <c r="D29" i="1"/>
  <c r="D27" i="8"/>
  <c r="D19" i="15"/>
  <c r="D23" i="25"/>
  <c r="D21" i="26"/>
  <c r="H395" i="20" l="1"/>
  <c r="H401" i="20"/>
  <c r="L400" i="20"/>
  <c r="L394" i="20"/>
  <c r="L399" i="20"/>
  <c r="M26" i="20"/>
  <c r="M40" i="20" s="1"/>
  <c r="M393" i="20" s="1"/>
  <c r="I400" i="20"/>
  <c r="I401" i="20" s="1"/>
  <c r="I394" i="20"/>
  <c r="L387" i="20"/>
  <c r="M54" i="20"/>
  <c r="M386" i="20"/>
  <c r="K399" i="20"/>
  <c r="M385" i="20"/>
  <c r="M110" i="20"/>
  <c r="D70" i="16"/>
  <c r="D68" i="17"/>
  <c r="D20" i="13"/>
  <c r="D24" i="25"/>
  <c r="D22" i="26"/>
  <c r="D20" i="15"/>
  <c r="D30" i="1"/>
  <c r="D28" i="8"/>
  <c r="L395" i="20" l="1"/>
  <c r="M387" i="20"/>
  <c r="I395" i="20"/>
  <c r="J400" i="20"/>
  <c r="J394" i="20"/>
  <c r="L401" i="20"/>
  <c r="M399" i="20"/>
  <c r="F331" i="20"/>
  <c r="K51" i="37" s="1"/>
  <c r="F328" i="20"/>
  <c r="K48" i="37" s="1"/>
  <c r="F327" i="20"/>
  <c r="K47" i="37" s="1"/>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F329" i="20" l="1"/>
  <c r="K49" i="37" s="1"/>
  <c r="J395" i="20"/>
  <c r="J401" i="20"/>
  <c r="M400" i="20"/>
  <c r="M394" i="20"/>
  <c r="K400" i="20"/>
  <c r="K394" i="20"/>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M395" i="20" l="1"/>
  <c r="M401" i="20"/>
  <c r="K395" i="20"/>
  <c r="K401" i="20"/>
  <c r="D23" i="13"/>
  <c r="D73" i="16"/>
  <c r="D71" i="17"/>
  <c r="D33" i="1"/>
  <c r="D31" i="8"/>
  <c r="D25" i="26"/>
  <c r="D27" i="25"/>
  <c r="D24" i="13" l="1"/>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0" i="37" l="1"/>
  <c r="I21" i="37"/>
  <c r="J15" i="37" l="1"/>
  <c r="B33" i="36" l="1"/>
  <c r="I15" i="37"/>
  <c r="G17" i="37" s="1"/>
  <c r="K62" i="35"/>
  <c r="I87" i="35" l="1"/>
  <c r="I89" i="35" s="1"/>
  <c r="H87" i="35"/>
  <c r="H89" i="35" s="1"/>
  <c r="F87" i="35"/>
  <c r="F88" i="35" s="1"/>
  <c r="G87" i="35"/>
  <c r="G89" i="35" s="1"/>
  <c r="C84" i="35"/>
  <c r="F93" i="35" l="1"/>
  <c r="F95" i="35" s="1"/>
  <c r="F89" i="35"/>
  <c r="F90" i="35" s="1"/>
  <c r="G90" i="35" s="1"/>
  <c r="H90" i="35" s="1"/>
  <c r="I90" i="35" s="1"/>
  <c r="G88" i="35"/>
  <c r="H88" i="35" s="1"/>
  <c r="I88" i="35" s="1"/>
  <c r="K87" i="35"/>
  <c r="B34" i="36"/>
  <c r="F92" i="35" l="1"/>
  <c r="G93" i="35" s="1"/>
  <c r="G95" i="35" s="1"/>
  <c r="G96" i="35" s="1"/>
  <c r="F96" i="35"/>
  <c r="K90" i="35"/>
  <c r="G92" i="35" l="1"/>
  <c r="H93" i="35" s="1"/>
  <c r="H95" i="35" s="1"/>
  <c r="H96" i="35" s="1"/>
  <c r="H92" i="35" l="1"/>
  <c r="I93" i="35"/>
  <c r="I95" i="35" s="1"/>
  <c r="I92" i="35" l="1"/>
  <c r="I96" i="35"/>
  <c r="C291" i="20" l="1"/>
  <c r="D291" i="20"/>
  <c r="C310" i="20" l="1"/>
  <c r="C99" i="20"/>
  <c r="C293" i="20"/>
  <c r="C282" i="20" l="1"/>
  <c r="C309" i="20"/>
  <c r="C103" i="20"/>
  <c r="C313" i="20" s="1"/>
  <c r="C300" i="20"/>
  <c r="C92" i="20"/>
  <c r="C283" i="20"/>
  <c r="C76" i="20"/>
  <c r="D293" i="20"/>
  <c r="D282" i="20" l="1"/>
  <c r="D300" i="20"/>
  <c r="D92" i="20"/>
  <c r="C302" i="20"/>
  <c r="C393" i="20"/>
  <c r="C286" i="20"/>
  <c r="D283" i="20"/>
  <c r="D76" i="20"/>
  <c r="E92" i="20"/>
  <c r="E393" i="20" l="1"/>
  <c r="E76" i="20"/>
  <c r="H41" i="37"/>
  <c r="C395" i="20"/>
  <c r="D302" i="20"/>
  <c r="D393" i="20"/>
  <c r="D286" i="20"/>
  <c r="F92" i="20"/>
  <c r="F76" i="20" l="1"/>
  <c r="I41" i="37"/>
  <c r="F393" i="20"/>
  <c r="J41" i="37"/>
  <c r="E395" i="20"/>
  <c r="G92" i="20"/>
  <c r="G393" i="20" l="1"/>
  <c r="G76" i="20"/>
  <c r="K41" i="37"/>
  <c r="F395" i="20"/>
  <c r="L41" i="37" l="1"/>
  <c r="G395" i="20"/>
  <c r="D292" i="20" l="1"/>
  <c r="D86" i="20"/>
  <c r="D68" i="20"/>
  <c r="D275" i="20"/>
  <c r="C68" i="20"/>
  <c r="C275" i="20"/>
  <c r="C292" i="20"/>
  <c r="C86" i="20"/>
  <c r="E86" i="20"/>
  <c r="E68" i="20"/>
  <c r="E375" i="20" l="1"/>
  <c r="J29" i="37" s="1"/>
  <c r="E77" i="20"/>
  <c r="C296" i="20"/>
  <c r="C379" i="20"/>
  <c r="C93" i="20"/>
  <c r="C303" i="20" s="1"/>
  <c r="C278" i="20"/>
  <c r="C375" i="20"/>
  <c r="C77" i="20"/>
  <c r="E379" i="20"/>
  <c r="E93" i="20"/>
  <c r="D379" i="20"/>
  <c r="D296" i="20"/>
  <c r="D93" i="20"/>
  <c r="D303" i="20" s="1"/>
  <c r="D375" i="20"/>
  <c r="D77" i="20"/>
  <c r="F86" i="20"/>
  <c r="F68" i="20"/>
  <c r="J32" i="37" l="1"/>
  <c r="E381" i="20"/>
  <c r="I32" i="37"/>
  <c r="F375" i="20"/>
  <c r="K29" i="37" s="1"/>
  <c r="F77" i="20"/>
  <c r="C95" i="20"/>
  <c r="C305" i="20" s="1"/>
  <c r="C287" i="20"/>
  <c r="H29" i="37"/>
  <c r="C377" i="20"/>
  <c r="I29" i="37"/>
  <c r="E95" i="20"/>
  <c r="F379" i="20"/>
  <c r="F93" i="20"/>
  <c r="H32" i="37"/>
  <c r="C381" i="20"/>
  <c r="D95" i="20"/>
  <c r="G68" i="20"/>
  <c r="G86" i="20"/>
  <c r="F381" i="20" l="1"/>
  <c r="K32" i="37"/>
  <c r="F95" i="20"/>
  <c r="G375" i="20"/>
  <c r="L29" i="37" s="1"/>
  <c r="G77" i="20"/>
  <c r="G379" i="20"/>
  <c r="G93" i="20"/>
  <c r="L32" i="37" l="1"/>
  <c r="G381" i="20"/>
  <c r="G95" i="20"/>
  <c r="D207" i="20" l="1"/>
  <c r="D168" i="20"/>
  <c r="O42" i="9"/>
  <c r="N178" i="9"/>
  <c r="I36" i="8"/>
  <c r="I28" i="8"/>
  <c r="N167" i="9"/>
  <c r="I24" i="8"/>
  <c r="H18" i="8"/>
  <c r="O39" i="1"/>
  <c r="O187" i="9"/>
  <c r="R187" i="9" l="1"/>
  <c r="O188" i="9"/>
  <c r="D211" i="20" s="1"/>
  <c r="S34" i="19"/>
  <c r="T187" i="9"/>
  <c r="O153" i="1"/>
  <c r="V39" i="1"/>
  <c r="G38" i="19" s="1"/>
  <c r="R18" i="8"/>
  <c r="I18" i="19" s="1"/>
  <c r="H152" i="8"/>
  <c r="R24" i="8"/>
  <c r="I24" i="19" s="1"/>
  <c r="L24" i="19" s="1"/>
  <c r="I152" i="8"/>
  <c r="D149" i="20" s="1"/>
  <c r="D254" i="20" s="1"/>
  <c r="R167" i="9"/>
  <c r="R14" i="19"/>
  <c r="N188" i="9"/>
  <c r="R28" i="8"/>
  <c r="I28" i="19" s="1"/>
  <c r="L28" i="19" s="1"/>
  <c r="R36" i="8"/>
  <c r="I36" i="19" s="1"/>
  <c r="L36" i="19" s="1"/>
  <c r="R178" i="9"/>
  <c r="R25" i="19"/>
  <c r="R42" i="9"/>
  <c r="D204" i="20"/>
  <c r="D312" i="20"/>
  <c r="D173" i="20"/>
  <c r="D273" i="20"/>
  <c r="D163" i="20"/>
  <c r="D268" i="20" s="1"/>
  <c r="D380" i="20"/>
  <c r="D148" i="20" l="1"/>
  <c r="R152" i="8"/>
  <c r="B22" i="36"/>
  <c r="V153" i="1"/>
  <c r="D139" i="20"/>
  <c r="B20" i="36"/>
  <c r="H178" i="9"/>
  <c r="V25" i="19"/>
  <c r="R24" i="19"/>
  <c r="AD25" i="19"/>
  <c r="AD24" i="19" s="1"/>
  <c r="S24" i="19"/>
  <c r="S35" i="19" s="1"/>
  <c r="AE34" i="19"/>
  <c r="AE24" i="19" s="1"/>
  <c r="AE35" i="19" s="1"/>
  <c r="D212" i="20"/>
  <c r="D317" i="20" s="1"/>
  <c r="B24" i="36"/>
  <c r="R11" i="19"/>
  <c r="AD14" i="19"/>
  <c r="AD11" i="19" s="1"/>
  <c r="H167" i="9"/>
  <c r="H188" i="9" s="1"/>
  <c r="V14" i="19"/>
  <c r="R188" i="9"/>
  <c r="R157" i="9" s="1"/>
  <c r="K38" i="19"/>
  <c r="K153" i="19" s="1"/>
  <c r="G153" i="19"/>
  <c r="D316" i="20"/>
  <c r="D386" i="20"/>
  <c r="I153" i="19"/>
  <c r="L18" i="19"/>
  <c r="L153" i="19" s="1"/>
  <c r="V34" i="19"/>
  <c r="AH34" i="19" s="1"/>
  <c r="H187" i="9"/>
  <c r="I33" i="37"/>
  <c r="D381" i="20"/>
  <c r="D182" i="20"/>
  <c r="D376" i="20"/>
  <c r="D278" i="20"/>
  <c r="D208" i="20"/>
  <c r="D313" i="20" s="1"/>
  <c r="D309" i="20"/>
  <c r="D215" i="20" l="1"/>
  <c r="AD35" i="19"/>
  <c r="V24" i="19"/>
  <c r="AH25" i="19"/>
  <c r="AH24" i="19" s="1"/>
  <c r="D244" i="20"/>
  <c r="D137" i="20"/>
  <c r="AH14" i="19"/>
  <c r="AH11" i="19" s="1"/>
  <c r="V11" i="19"/>
  <c r="R35" i="19"/>
  <c r="I36" i="37"/>
  <c r="D387" i="20"/>
  <c r="D331" i="20"/>
  <c r="G51" i="37" s="1"/>
  <c r="D320" i="20"/>
  <c r="D253" i="20"/>
  <c r="D159" i="20"/>
  <c r="I30" i="37"/>
  <c r="D377" i="20"/>
  <c r="D200" i="20"/>
  <c r="D305" i="20" s="1"/>
  <c r="D287" i="20"/>
  <c r="D242" i="20" l="1"/>
  <c r="D145" i="20"/>
  <c r="AH35" i="19"/>
  <c r="V35" i="19"/>
  <c r="D328" i="20"/>
  <c r="G48" i="37" s="1"/>
  <c r="D264" i="20"/>
  <c r="D400" i="20" l="1"/>
  <c r="D250" i="20"/>
  <c r="D394" i="20"/>
  <c r="D327" i="20"/>
  <c r="D395" i="20" l="1"/>
  <c r="I42" i="37"/>
  <c r="D329" i="20"/>
  <c r="G49" i="37" s="1"/>
  <c r="G47" i="37"/>
  <c r="I27" i="37"/>
  <c r="D401" i="20"/>
</calcChain>
</file>

<file path=xl/sharedStrings.xml><?xml version="1.0" encoding="utf-8"?>
<sst xmlns="http://schemas.openxmlformats.org/spreadsheetml/2006/main" count="2591" uniqueCount="592">
  <si>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</si>
  <si>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</si>
  <si>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</si>
  <si>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</si>
  <si>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</si>
  <si>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</si>
  <si>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</si>
  <si>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</si>
  <si>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</si>
  <si>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</si>
  <si>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</si>
  <si>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</si>
  <si>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</si>
  <si>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</si>
  <si>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</si>
  <si>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</si>
  <si>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</si>
  <si>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</si>
  <si>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</si>
  <si>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</si>
  <si>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</si>
  <si>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</si>
  <si>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</si>
  <si>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</si>
  <si>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</si>
  <si>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</si>
  <si>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</si>
  <si>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</si>
  <si>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</si>
  <si>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</si>
  <si>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</si>
  <si>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</si>
  <si>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</si>
  <si>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</si>
  <si>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</si>
  <si>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</si>
  <si>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</si>
  <si>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</si>
  <si>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</si>
  <si>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</si>
  <si>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</si>
  <si>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</si>
  <si>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</si>
  <si>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</si>
  <si>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</si>
  <si>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</si>
  <si>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</si>
  <si>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</si>
  <si>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</si>
  <si>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</si>
  <si>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</si>
  <si>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</si>
  <si>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</si>
  <si>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</si>
  <si>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</si>
  <si>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</si>
  <si>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</si>
  <si>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</si>
  <si>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</si>
  <si>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</si>
  <si>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</si>
  <si>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</si>
  <si>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</si>
  <si>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</si>
  <si>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</si>
  <si>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</si>
  <si>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</si>
  <si>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</si>
  <si>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</si>
  <si>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</si>
  <si>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</si>
  <si>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</si>
  <si>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</si>
  <si>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</si>
  <si>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</si>
  <si>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</si>
  <si>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</si>
  <si>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</si>
  <si>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</si>
  <si>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</si>
  <si>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</si>
  <si>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</si>
  <si>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</si>
  <si>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</si>
  <si>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</si>
  <si>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</si>
  <si>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</si>
  <si>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</si>
  <si>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</si>
  <si>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</si>
  <si>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</si>
  <si>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</si>
  <si>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</si>
  <si>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</si>
  <si>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</si>
  <si>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</si>
  <si>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</si>
  <si>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</si>
  <si>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</si>
  <si>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</si>
  <si>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</si>
  <si>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</si>
  <si>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</si>
  <si>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</si>
  <si>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</si>
  <si>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</si>
  <si>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</si>
  <si>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</si>
  <si>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</si>
  <si>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</si>
  <si>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</si>
  <si>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</si>
  <si>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</si>
  <si>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</si>
  <si>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</si>
  <si>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</si>
  <si>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</si>
  <si>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</si>
  <si>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</si>
  <si>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</si>
  <si>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</si>
  <si>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</si>
  <si>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</si>
  <si>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</si>
  <si>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</si>
  <si>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</si>
  <si>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</si>
  <si>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</si>
  <si>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</si>
  <si>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</si>
  <si>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</si>
  <si>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</si>
  <si>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</si>
  <si>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</si>
  <si>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</si>
  <si>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</si>
  <si>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</si>
  <si>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</si>
  <si>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</si>
  <si>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</si>
  <si>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</si>
  <si>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</si>
  <si>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</si>
  <si>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</si>
  <si>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</si>
  <si>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</si>
  <si>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</si>
  <si>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</si>
  <si>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</si>
  <si>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</si>
  <si>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</si>
  <si>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</si>
  <si>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</si>
  <si>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</si>
  <si>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</si>
  <si>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</si>
  <si>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</si>
  <si>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</si>
  <si>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</si>
  <si>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</si>
  <si>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</si>
  <si>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</si>
  <si>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</si>
  <si>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</si>
  <si>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</si>
  <si>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</si>
  <si>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</si>
  <si>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</si>
  <si>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</si>
  <si>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</si>
  <si>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</si>
  <si>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</si>
  <si>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</si>
  <si>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</si>
  <si>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</si>
  <si>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</si>
  <si>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</si>
  <si>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</si>
  <si>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</si>
  <si>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</si>
  <si>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</si>
  <si>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</si>
  <si>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</si>
  <si>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</si>
  <si>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</si>
  <si>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</si>
  <si>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</si>
  <si>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</si>
  <si>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</si>
  <si>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</si>
  <si>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</si>
  <si>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</si>
  <si>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</si>
  <si>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</si>
  <si>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</si>
  <si>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</si>
  <si>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</si>
  <si>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</si>
  <si>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</si>
  <si>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</si>
  <si>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</si>
  <si>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</si>
  <si>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</si>
  <si>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</si>
  <si>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</si>
  <si>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</si>
  <si>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</si>
  <si>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</si>
  <si>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</si>
  <si>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</si>
  <si>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</si>
  <si>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</si>
  <si>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</si>
  <si>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</si>
  <si>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</si>
  <si>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</si>
  <si>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</si>
  <si>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</si>
  <si>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</si>
  <si>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</si>
  <si>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Signed:</t>
  </si>
  <si>
    <t>[NAME OF CHIEF EXECUTIVE OFFICER]</t>
  </si>
  <si>
    <t>[DATE]</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</si>
  <si>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</si>
  <si>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</si>
  <si>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</si>
  <si>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</si>
  <si>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</si>
  <si>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</si>
  <si>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</si>
  <si>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</si>
  <si>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</si>
  <si>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</si>
  <si>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</si>
  <si>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</si>
  <si>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</si>
  <si>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</si>
  <si>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</si>
  <si>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</si>
  <si>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</si>
  <si>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</si>
  <si>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</si>
  <si>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</si>
  <si>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</si>
  <si>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</si>
  <si>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</si>
  <si>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</si>
  <si>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</si>
  <si>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</si>
  <si>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</si>
  <si>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</si>
  <si>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</si>
  <si>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</si>
  <si>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</si>
  <si>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</si>
  <si>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</si>
  <si>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</si>
  <si>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</si>
  <si>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</si>
  <si>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</si>
  <si>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</si>
  <si>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</si>
  <si>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</si>
  <si>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</si>
  <si>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</si>
  <si>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</si>
  <si>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</si>
  <si>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</si>
  <si>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</si>
  <si>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</si>
  <si>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</si>
  <si>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</si>
  <si>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</si>
  <si>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</si>
  <si>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</si>
  <si>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</si>
  <si>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</si>
  <si>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</si>
  <si>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</si>
  <si>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</si>
  <si>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</si>
  <si>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</si>
  <si>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</si>
  <si>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</si>
  <si>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</si>
  <si>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</si>
  <si>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</si>
  <si>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</si>
  <si>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</si>
  <si>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</si>
  <si>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</si>
  <si>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</si>
  <si>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</si>
  <si>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</si>
  <si>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</si>
  <si>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</si>
  <si>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</si>
  <si>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</si>
  <si>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</si>
  <si>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</si>
  <si>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</si>
  <si>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</si>
  <si>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</si>
  <si>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</si>
  <si>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</si>
  <si>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</si>
  <si>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</si>
  <si>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</si>
  <si>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</si>
  <si>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</si>
  <si>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</si>
  <si>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</si>
  <si>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</si>
  <si>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</si>
  <si>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</si>
  <si>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</si>
  <si>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</si>
  <si>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</si>
  <si>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</si>
  <si>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</si>
  <si>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</si>
  <si>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</si>
  <si>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</si>
  <si>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</si>
  <si>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</si>
  <si>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</si>
  <si>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</si>
  <si>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</si>
  <si>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</si>
  <si>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</si>
  <si>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</si>
  <si>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</si>
  <si>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</si>
  <si>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</si>
  <si>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</si>
  <si>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</si>
  <si>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</si>
  <si>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</si>
  <si>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</si>
  <si>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</si>
  <si>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</si>
  <si>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</si>
  <si>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</si>
  <si>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</si>
  <si>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</si>
  <si>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</si>
  <si>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</si>
  <si>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</si>
  <si>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 xml:space="preserve">COUNCILS 2016-17 ADOPTED BUDGET </t>
  </si>
  <si>
    <t>Number of assessments as at end of FY (30 June)</t>
  </si>
  <si>
    <t>Number of assessments as at start of FY (1 July)</t>
  </si>
  <si>
    <t>2014-15</t>
  </si>
  <si>
    <t>Total Expenditure</t>
  </si>
  <si>
    <t>Total Capital expenditure</t>
  </si>
  <si>
    <t>2017-18 with higher cap</t>
  </si>
  <si>
    <t>2017-18 without higher cap</t>
  </si>
  <si>
    <t>ASSUMPTIONS USED TO POPULATE THE SRP AND LTFP WITH HIGHER CAP</t>
  </si>
  <si>
    <t>Increase in employee costs due to EBA growth</t>
  </si>
  <si>
    <t>Assumed rate of forecast CPI</t>
  </si>
  <si>
    <t>Increase in employee costs assumed for progression</t>
  </si>
  <si>
    <t>Assumed rate of growth in grants</t>
  </si>
  <si>
    <t>Total over LTFP (10 years)</t>
  </si>
  <si>
    <t>Total over SRP (4 years)</t>
  </si>
  <si>
    <t>Rate Revenue</t>
  </si>
  <si>
    <t>Select council</t>
  </si>
  <si>
    <t>Services - Base year</t>
  </si>
  <si>
    <t>Revenue - Base year</t>
  </si>
  <si>
    <t>Expenditure - Base year</t>
  </si>
  <si>
    <t>Assets - Base year</t>
  </si>
  <si>
    <t>(Total General rates and municipal charges)</t>
  </si>
  <si>
    <t>Assumed population growth</t>
  </si>
  <si>
    <t>Forecast base average rates</t>
  </si>
  <si>
    <t>Forecast capped average rates</t>
  </si>
  <si>
    <t>Note the rates and charges data from 2017-18 to 2020-21 has been copied over from the SRP and LTFP sheet</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</si>
  <si>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</si>
  <si>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</si>
  <si>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</si>
  <si>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</si>
  <si>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</si>
  <si>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</si>
  <si>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</si>
  <si>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</si>
  <si>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</si>
  <si>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</si>
  <si>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</si>
  <si>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</si>
  <si>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</si>
  <si>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</si>
  <si>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</si>
  <si>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</si>
  <si>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</si>
  <si>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</si>
  <si>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</si>
  <si>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</si>
  <si>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</si>
  <si>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</si>
  <si>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</si>
  <si>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</si>
  <si>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</si>
  <si>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</si>
  <si>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</si>
  <si>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</si>
  <si>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</si>
  <si>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</si>
  <si>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</si>
  <si>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</si>
  <si>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</si>
  <si>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</si>
  <si>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</si>
  <si>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</si>
  <si>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</si>
  <si>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</si>
  <si>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</si>
  <si>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</si>
  <si>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</si>
  <si>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</si>
  <si>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</si>
  <si>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</si>
  <si>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</si>
  <si>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</si>
  <si>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</si>
  <si>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</si>
  <si>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</si>
  <si>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Additional rates revenue from higher cap:</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</si>
  <si>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</si>
  <si>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</si>
  <si>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</si>
  <si>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</si>
  <si>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</si>
  <si>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</si>
  <si>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</si>
  <si>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</si>
  <si>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</si>
  <si>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</si>
  <si>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</si>
  <si>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</si>
  <si>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</si>
  <si>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</si>
  <si>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</si>
  <si>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</si>
  <si>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</si>
  <si>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</si>
  <si>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</si>
  <si>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</si>
  <si>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HIGHER RATE CAP APPLIED FOR</t>
  </si>
  <si>
    <t>The model key shows what cells council is to input information into throughout the template, what cells contain formulas and where errors need to be checked.</t>
  </si>
  <si>
    <t>Please select</t>
  </si>
  <si>
    <t>Gerneral services in template</t>
  </si>
  <si>
    <t>Total general rates and municipal charges</t>
  </si>
  <si>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2016-17.
- 'Revenue NHC' and 'Revenue WHC' are to report the budget year scenarios for 2017-18,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the Council inputs its own revenues for services.
- All revenue categories are to be reported on as per the annual report comprehensive income statement except for grants. 
- Grants are to be reported on per capital/operating recurrent/non recurrent categorisation.          
- Total rates and charges is to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E160 to E172 and the value of the revenue item(s) from F160 to F172. Ensure that the F177 shows 'OK', which will show any difference between the other revenues reported in F174 and the other revenue in V152. 
- Council should endeavour to allocate all revenues by service where possible.
</t>
    </r>
    <r>
      <rPr>
        <b/>
        <sz val="10"/>
        <rFont val="Verdana"/>
        <family val="2"/>
      </rPr>
      <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</si>
  <si>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2016-17.
- For both 'Expenditure NHC' and 'Expenditure WHC', council is to report what the budget expenditures by service for the 2017-18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</si>
  <si>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2016-17 base year in the 'Assets - base year' sheet, and the 10 major capital projects the council plans to undertake in the 2017-18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</si>
  <si>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</si>
  <si>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</si>
  <si>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</si>
  <si>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</si>
  <si>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</si>
  <si>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</si>
  <si>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</si>
  <si>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2017-18 to 2019-20, and they wish to lineraise their higher caps using this tool, and the 'difference between the lineraised general rates and municipal charges' (row 96), showed $359,020 for 2017-18 (cell F96), -$203,044 for 2018-19 (cell G96) and $2,305 for 2019-20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</si>
  <si>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 xml:space="preserve">How many years of higher caps is council applying for?   </t>
  </si>
  <si>
    <t>Difference between 'linearised rates' and originally input general rates and municipal charges</t>
  </si>
  <si>
    <t>[Discuss the assumptions council used to forecast future annualised supplementary rates revenue]</t>
  </si>
  <si>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2017-18, 2018-19 and 2019-20, and they wish to lineraise their higher caps using this tool, and the 'difference between the lineraised general rates and municipal charges' (row 96), showed $359,020 for 2017-18 (cell F96), -$203,044 for 2018-19 (cell G96) and $2,305 for 2019-20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</si>
  <si>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Only councils seeking a higher cap or higher caps should complete this template </t>
    </r>
    <r>
      <rPr>
        <sz val="10"/>
        <rFont val="Verdana"/>
        <family val="2"/>
      </rPr>
      <t xml:space="preserve">
- For information on why the Commission requires councils applying for a higher cap or caps to complete this template, refer to the </t>
    </r>
    <r>
      <rPr>
        <i/>
        <sz val="10"/>
        <rFont val="Verdana"/>
        <family val="2"/>
      </rPr>
      <t>Commission's Guidance for Councils 2017-18</t>
    </r>
    <r>
      <rPr>
        <sz val="10"/>
        <rFont val="Verdana"/>
        <family val="2"/>
      </rPr>
      <t xml:space="preserve">, chapter 2.
- Before starting, ensure you have selected your council and base year in the above blue drop down boxes &lt;[Select council]&gt;, &lt;[Select base year]&gt; and that contact information has been provided. For higher rate cap(s) applications for 2017-18 (and onwards), 2016-17 will be the base year.
- In this Budget Baseline Information template, councils are expected to input service, revenue, expenditure and asset information for:
        - 2016-17 forecast actuals - for the base year (blue work sheet tabs),
        - 2017-18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These will show the budget forecasts with the higher cap or caps over the Strategic Resource Plan (SRP) and Long Term Financial Plan (if council has this information available). Note, council is required to provide at least the full four year SRP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</si>
  <si>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t xml:space="preserve">- Only councils seeking a higher cap or caps should complete this template </t>
    </r>
    <r>
      <rPr>
        <sz val="10"/>
        <rFont val="Verdana"/>
        <family val="2"/>
      </rPr>
      <t xml:space="preserve">
- For information on why the Commission requires councils applying for a higher cap or caps to complete this template, refer to the </t>
    </r>
    <r>
      <rPr>
        <i/>
        <sz val="10"/>
        <rFont val="Verdana"/>
        <family val="2"/>
      </rPr>
      <t>Commission's Guidance for Councils 2017-18</t>
    </r>
    <r>
      <rPr>
        <sz val="10"/>
        <rFont val="Verdana"/>
        <family val="2"/>
      </rPr>
      <t xml:space="preserve">, chapter 2.
- Before starting, ensure you have selected your council and base year in the 'instructions' sheet blue drop down boxes &lt;[Select council]&gt;, &lt;[Select base year]&gt; and that contact information has been provided. For higher rate cap(s) applications for 2017-18 (and onwards), 2016-17 will be the base year.
- In this Budget Baseline Information template, councils are expected to input service, revenue, expenditure and asset information for:
        - 2016-17 forecast actuals - for the base year (blue work sheet tabs),
        - 2017-18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These will show the budget forecasts with the higher cap or caps over the Strategic Resource Plan (SRP) and Long Term Financial Plan (if council has this information available). Note, council is required to provide at least the full four year SRP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</si>
  <si>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</si>
  <si>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4</t>
    </r>
    <r>
      <rPr>
        <b/>
        <sz val="10"/>
        <rFont val="Verdana"/>
        <family val="2"/>
      </rPr>
      <t xml:space="preserve"> </t>
    </r>
    <r>
      <rPr>
        <i/>
        <sz val="10"/>
        <rFont val="Verdana"/>
        <family val="2"/>
      </rPr>
      <t>ESC's guidance for councils 2017-18</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Insert the council's </t>
    </r>
    <r>
      <rPr>
        <u/>
        <sz val="10"/>
        <rFont val="Verdana"/>
        <family val="2"/>
      </rPr>
      <t>budgeted</t>
    </r>
    <r>
      <rPr>
        <sz val="10"/>
        <rFont val="Verdana"/>
        <family val="2"/>
      </rPr>
      <t xml:space="preserve"> rates and charges for the budget year from cell E18 to E26. Note this differs from the forecast actual 2016-17 rates and charges information asked for in previous sections of the template.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2016), to the end of the base year (30 June 2017).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section 4.3 </t>
    </r>
    <r>
      <rPr>
        <i/>
        <sz val="10"/>
        <rFont val="Verdana"/>
        <family val="2"/>
      </rPr>
      <t>ESC's guidance for councils 2017-18</t>
    </r>
    <r>
      <rPr>
        <sz val="10"/>
        <rFont val="Verdana"/>
        <family val="2"/>
      </rPr>
      <t>.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though to make the most credible forecasts of this growth. Council is to explain in C47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</si>
  <si>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t>
    </r>
    <r>
      <rPr>
        <b/>
        <sz val="10"/>
        <rFont val="Verdana"/>
        <family val="2"/>
      </rPr>
      <t>STRATEGIC RESOURCE PLAN (SRP) AND LONG-TERM FINACNIAL PLAN (LTFP)
'SRP and LTFP' sheet</t>
    </r>
    <r>
      <rPr>
        <sz val="10"/>
        <rFont val="Verdana"/>
        <family val="2"/>
      </rPr>
      <t xml:space="preserve">
- Council is required to provide its updated SRP based on the with higher cap scenario, from C11 to M109. This includes the income statement, balance sheet and capital works statement. Council is also encouraged to provide LTFP forecasts of this information beyond the SRP four years, if it has a long term financial plan. But this is optional for councils.
- Even if a council is applying for a higher cap for only one year (the budget year), they are still required to populate the full SRP information for the four forecast years (and LTFP information if available).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LTFP information if available) on the no higher cap scenario for the budget year (based on a rates increase of the Minister's average rate cap) from C115 to D213. Again, much of this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</si>
  <si>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t>Strategice resource Plan (SRP) and Longterm Financial Plan (LTFP)</t>
  </si>
  <si>
    <t>Lynne Stevenson</t>
  </si>
  <si>
    <t>General Manager Corporate &amp; Community Services</t>
  </si>
  <si>
    <t>(03) 5258-1377</t>
  </si>
  <si>
    <t>lynne.stevenson@queenscliffe.vic.gov.au</t>
  </si>
  <si>
    <t>Borough of Queenscliffe</t>
  </si>
  <si>
    <t xml:space="preserve">The Aged Services program provides care and assistance to older residents and those requiring respite so that their homes remain their safe haven. The program is focused on maximising the wellbeing, safety and health of frail older people, people requiring respite, and their carers. Through the Commonwealth Home Support Programme, support and maintenance services are provided to people living at home, whose capacity for independent living is at risk, or who are at risk of premature or inappropriate admission to long term residential care. </t>
  </si>
  <si>
    <t>The Active Communities program promotes community wellbeing by supporting people and communities to be involved and active in sport, recreation, arts, culture and other community and civic activities. The program area is responsible for building the capacity of local clubs and community organisations and assisting these organisations to develop and implement projects that support social inclusion, access and equity within the Borough.</t>
  </si>
  <si>
    <t>The Community Events program promotes community wellbeing, celebrates the significance of the Borough and stimulates the local economy through conducting events directly or facilitating, supporting and administering a range of recreation, arts and cultural events planned and implemented by community organisations or commercial businesses. Council also plays a key role in promoting and acknowledging the significant roles played by volunteers in local organisations.</t>
  </si>
  <si>
    <r>
      <t xml:space="preserve">The </t>
    </r>
    <r>
      <rPr>
        <sz val="10"/>
        <rFont val="Arial"/>
        <family val="2"/>
      </rPr>
      <t>Maternal and Child Health</t>
    </r>
    <r>
      <rPr>
        <b/>
        <sz val="10"/>
        <rFont val="Arial"/>
        <family val="2"/>
      </rPr>
      <t xml:space="preserve"> </t>
    </r>
    <r>
      <rPr>
        <sz val="10"/>
        <rFont val="Arial"/>
        <family val="2"/>
      </rPr>
      <t>program (MCH) plays a key role in supporting and monitoring the health and wellbeing of local families with children from birth to school age. MCH is a primary care service which provides a comprehensive and focused approach for the promotion, prevention, early detection, and intervention of the physical, emotional or social factors affecting young children and their families. Council currently contracts the City of Greater Geelong to provide the Maternal and Child Health services in the Borough.</t>
    </r>
  </si>
  <si>
    <t>The Kindergarten program is an important part of the Borough’s early years services. Kindergarten assists in supporting the wellbeing of pre-school children and providing a safe learning environment to enable children to gain early life skills and knowledge and assist their transition to school. Whilst the Queenscliff Kindergarten is operated independently of Council by a Committee of Management, Council manages the Kindergarten building, facilitates access to external grants and supports the Kindergarten Committee of Management as needs arise.</t>
  </si>
  <si>
    <r>
      <t xml:space="preserve">The Environmental Health program monitors and maintains a safe environment for public health and wellbeing. This program is designed to meet Council’s statutory obligations regarding public health notably under the </t>
    </r>
    <r>
      <rPr>
        <i/>
        <sz val="10"/>
        <rFont val="Arial"/>
        <family val="2"/>
      </rPr>
      <t>Food Act 1984</t>
    </r>
    <r>
      <rPr>
        <sz val="10"/>
        <rFont val="Arial"/>
        <family val="2"/>
      </rPr>
      <t xml:space="preserve"> and </t>
    </r>
    <r>
      <rPr>
        <i/>
        <sz val="10"/>
        <rFont val="Arial"/>
        <family val="2"/>
      </rPr>
      <t>Public Health and Wellbeing Act 2008</t>
    </r>
    <r>
      <rPr>
        <sz val="10"/>
        <rFont val="Arial"/>
        <family val="2"/>
      </rPr>
      <t>. Mandatory assessments of food safety, accommodation and beauty treatment premises are completed in accordance with the regulations and risk management frameworks. Tobacco control activities reduce the prevalence of smoking in the community. Nuisance complaint investigations remedy public health and amenity concerns, infectious disease investigations control and reduce the likelihood of notifiable disease. The Environmental health program area also facilitates mosquito control activity.</t>
    </r>
  </si>
  <si>
    <r>
      <t xml:space="preserve">The Asset Management and Appearance of Public Places program ensures the safety and functionality of public places and infrastructure. This program promotes community wellbeing and encourages people to be active in public settings. The program ensures safe and efficient transport settings, including the development of a network of connected walking and cycling routes, facilitates safe access to and use of community facilities, parks and gardens, sports ovals and local amenities. Responsibilities extend to include maintenance of local </t>
    </r>
    <r>
      <rPr>
        <u/>
        <sz val="10"/>
        <rFont val="Arial"/>
        <family val="2"/>
      </rPr>
      <t>roads,</t>
    </r>
    <r>
      <rPr>
        <sz val="10"/>
        <rFont val="Arial"/>
        <family val="2"/>
      </rPr>
      <t xml:space="preserve"> kerb and channel, footpaths, shared use trails, drainage and street cleanliness. Council implements an asset renewal and maintenance program for infrastructure including roads, paths, drainage and all Council-owned and managed community buildings. It is also responsible for the maintenance, cleaning and renewal of 14 public toilets.</t>
    </r>
  </si>
  <si>
    <r>
      <t xml:space="preserve">The Local Laws, Safety and Amenity program promotes community wellbeing and safety in various settings and through monitoring public behaviour consistent with Council’s Local Laws. This is achieved through management of school crossings, the provision of </t>
    </r>
    <r>
      <rPr>
        <sz val="10"/>
        <rFont val="Arial"/>
        <family val="2"/>
      </rPr>
      <t>animal management services including animal registration and a dog and cat collection service as well as enforcement of local laws, issuing of local law permits, management of the boat ramp and enforcement of parking restrictions. This service is also the first Council respondent to out-of-hours emergencies.</t>
    </r>
  </si>
  <si>
    <t>The Street Lighting program assists in the provision of a safe environment for motorists, pedestrians and cyclists. It involves the operation, maintenance, renewal and energy costs associated with the Borough's street lights.</t>
  </si>
  <si>
    <t>The Powerline Safety program assists in the provision of a safe environment and protection of the Borough’s significant vegetation from fire by maintaining clear zones around powerlines to standards as set by legislation.</t>
  </si>
  <si>
    <r>
      <t xml:space="preserve">The Library program promotes community wellbeing by encouraging active participation and life-long learning opportunities in a safe, inclusive setting. </t>
    </r>
    <r>
      <rPr>
        <sz val="10"/>
        <rFont val="Arial"/>
        <family val="2"/>
      </rPr>
      <t>Libraries can be restorative places and often a safe haven for people outside their own home. The public library service is provided in Queenscliff in a Council-owned building, and is operated by the Geelong Regional Library Corporation under a financial deed of agreement with Council. Council is one of four municipalities that make up the membership of the Corporation.</t>
    </r>
  </si>
  <si>
    <t>The Recreation, Arts and Culture program promotes community wellbeing by supporting people and communities to be involved, healthy and active. Council plays a key role in managing or leasing community facilities to local organisations, assisting clubs with facility improvements and accessing external funding, and via various club development support programs. The program provides or supports an ongoing program of arts, cultural and reconciliation activities and events, helping to build local capacity, celebrate the rich culture, and enhance the Borough as a special and restorative place.</t>
  </si>
  <si>
    <t>The Environmental Sustainability program sees the Borough playing its part in protecting the natural environment for future generations. This includes Council measuring, monitoring and reducing its carbon emissions as well as assisting the local community to implement various initiatives designed to reduce greenhouse gases through the Community Environment Alliance. Council plays a key role in responding to the challenges of climate change and sea level rise and where possible working with various Federal, State, regional and local organisations to inform and educate the community about practices that support environmental sustainability.</t>
  </si>
  <si>
    <t>The Coastal Protection program seeks to preserve and enhance the Borough’s globally significant, highly-valued coast as an iconic environmental asset for current and future generations. Under this program, Council implements State Government coastal management policy, manages environmental projects and works with State, regional and local services to enhance its management of coastal Crown Land. The program involves weed reduction initiatives and planting of trees and other plants.</t>
  </si>
  <si>
    <t>The Waste Management and Recycling program seeks to promote local action in order to protect the environment for future generations. Council works with local and regional organisations, including the Barwon South West Waste and Resource Recovery Group and neighbouring councils to increase community awareness and promote behaviours that reduce waste and promote recycling. In addition to regular kerbside waste collection and a hard rubbish collection, the program includes a recycling service, e-waste and a green waste bin service for all residential and tourist accommodation properties. A range of public waste services are also provided given the comparatively high level of tourist visitation. Note full cost recovery of waste management, including recycling, is achieved via application of waste charges to ratepayers in accordance with Council’s Rating Strategy.</t>
  </si>
  <si>
    <t>The Tourist Parks and Boat Ramp Services program ensures the Borough remains a special place for visitors while increasing tourism’s contribution to the local economy. The program includes management of three tourist parks and one boat ramp. It currently provides approximately 400 camping/caravanning sites and associated facilities, including maintenance of seven amenities blocks, and management of the Queenscliff boat ramp which provides access to the fishing in Port Phillip Bay. While contributing significantly to the local economy, this program generates a net income result, which is used to fund improvements to and maintenance of community facilities, foreshore infrastructure and coastal protection activities on Crown land.</t>
  </si>
  <si>
    <t>The Visitor Information Centre program promotes the Borough as a special place for visitors, and supports local tourism and related businesses with dissemination of information to build a diverse and vibrant local economy. This program manages a State accredited tourist information service year round, with paid staff and volunteers offering information and advice about the visitor experiences on offer across the Borough and through other parts of Victoria.</t>
  </si>
  <si>
    <t>The Tourism and Economic Development program seeks to build on the Borough’s unique heritage, rich culture and significant natural environment to strengthen the diversity and vibrancy of the local economy. The program is integrated with the activities of state, regional and local tourism organisations. Marketing and promoting the Borough and its attractions is key to increasing the number of day trippers and overnight visitors. The program’s focus on broader economic development includes supporting local businesses through access to information and professional development and working with neighbouring municipalities, G21 and the State Government to implement regional economic infrastructure priorities.</t>
  </si>
  <si>
    <t>The Design and Project Management program seeks to achieve excellence of design and delivery of projects which enhance the Borough as a special place. Specifically, the program manages design, tendering, contract management and supervision of Council’s annual capital works program. It also manages issues associated with private development activities such as building over easements, legal point of discharge, vehicle point of access and unit development infrastructure.</t>
  </si>
  <si>
    <r>
      <t xml:space="preserve">The Land Use Planning program ensures that the Borough conserves its unique heritage, that the built environment is enhanced by design excellence, and that local amenity is protected against inappropriate land use and development. The program monitors Council’s Planning Scheme and prepares major policy documents including the Municipal Strategic Statement. It maintains and processes amendments to the Queenscliffe Planning Scheme and carries out research on demographic, economic and social issues affecting Council. The program administers Council’s </t>
    </r>
    <r>
      <rPr>
        <sz val="10"/>
        <rFont val="Arial"/>
        <family val="2"/>
      </rPr>
      <t>statutory planning responsibilities, including the various processes associated with the assessment of planning permit applications and defence of Council decisions at the Victorian Civil and Administrative Tribunal.</t>
    </r>
  </si>
  <si>
    <t>The Heritage Conservation Advice program aims to retain the unique heritage and rich culture captured in the Borough’s built form. It adds value to the Land Use Planning program by providing an external heritage expert via contract to advise development applicants on how to respect and achieve compliance with heritage objectives, and to inform Council’s assessment of planning permit applications in relation to heritage conservation.</t>
  </si>
  <si>
    <t>The Building Control program ensures that building construction and maintenance is such that the community remains safe. It provides statutory building services including processing of siting variation consent, emergency management responsibilities, building inspections, building safety audits, and investigation of complaints and illegal works.</t>
  </si>
  <si>
    <r>
      <t xml:space="preserve">The Council </t>
    </r>
    <r>
      <rPr>
        <sz val="10"/>
        <rFont val="Arial"/>
        <family val="2"/>
      </rPr>
      <t xml:space="preserve">Governance program supports the Mayor and Councillors to maintain a cohesive Council and a well-governed Borough. The program supports Council’s compliance with the Councillor Code of Conduct and its key relationships and memberships with organisations such as the MAV and G21. Council’s participation in the annual Local Government Community Satisfaction Survey and meeting all legislative requirements associated with the </t>
    </r>
    <r>
      <rPr>
        <i/>
        <sz val="10"/>
        <rFont val="Arial"/>
        <family val="2"/>
      </rPr>
      <t xml:space="preserve">Local Government Act 1989 </t>
    </r>
    <r>
      <rPr>
        <sz val="10"/>
        <rFont val="Arial"/>
        <family val="2"/>
      </rPr>
      <t>and any other applicable Act occur as part of this program.</t>
    </r>
  </si>
  <si>
    <t>The Organisational Performance and Compliance program supports the Chief Executive Officer and Executive Management Team to maintain a cohesive, well-managed and highly performing organisation. This includes supporting organisation development and statutory compliance, and seeking to ensure that the behaviour of all staff complies with the Staff Code of Conduct. Key outputs of the program are the preparation and/or review of the Council Plan, Strategic Resource Plan and long term budget, Annual Implementation Plan, and Council’s Annual Budget.</t>
  </si>
  <si>
    <t>The Community Engagement and Customer Service program aims to facilitate community involvement in decision-making, and to deliver high quality customer service. It includes practical and strategic advice regarding Council’s internal and external communications and issues management, and supports first point of contact to customers at the Council office. The program provides records management services in accordance with Council policy and procedures, administers the requirements of the privacy and freedom of information legislation, coordinates Council and Committee meetings, and provides other administrative support services.</t>
  </si>
  <si>
    <t>The Financial and Risk Management program seeks to ensure the ongoing independence and financial sustainability of the Borough. Council ensures sound financial management, and cohesiveness and performance of the organisation’s operations, through the maintenance of appropriate systems. The service provides long term financial planning, robust internal risk management, adherence to guidelines on prudent management of debt, cash and asset renewal, and reviews its assets to improve the return on Council’s investments. The service predominantly includes management of Council’s finances, the raising and collection of revenue, payment of salaries and wages to Council employees, procurement and contracting of services, management and maintenance of robust computer systems, fleet management, insurance and risk management systems. The program also includes the biennial revaluation of properties for rating purposes, processing of supplementary rates and the administration of the State Government’s Fire Services Property Levy. Depreciation expense for all Council assets is included in this program area.</t>
  </si>
  <si>
    <t>Capitalised Labour Costs</t>
  </si>
  <si>
    <t>Capital Works Program</t>
  </si>
  <si>
    <t>Other liabilities</t>
  </si>
  <si>
    <t>Annual Asset Renewal Program - Buildings</t>
  </si>
  <si>
    <t>Annual Asset Renewal Program - Computers &amp; Telecommunications</t>
  </si>
  <si>
    <t>Annual Asset Renewal Program - Drainage</t>
  </si>
  <si>
    <t>Annual Asset Renewal Program - Fixtures &amp; Fittings</t>
  </si>
  <si>
    <t>Roads to Recovery Program</t>
  </si>
  <si>
    <t>Annual Asset Renewal Program - Roads</t>
  </si>
  <si>
    <t>Annual Asset Renewal Program - Plant, Machinery &amp; Equipment</t>
  </si>
  <si>
    <t>Annual Asset Renewal Program - Parks, Open Space &amp; Streetscapes</t>
  </si>
  <si>
    <t>Annual Asset Renewal Program - Recreation, Leisure &amp; Community Facilities</t>
  </si>
  <si>
    <t>Annual Asset Renewal Program - Footpaths &amp; Cycleways</t>
  </si>
  <si>
    <t>Asset Management and Appearance of Public Places</t>
  </si>
  <si>
    <t>Recreation, Arts and Culture</t>
  </si>
  <si>
    <t>Active Communities</t>
  </si>
  <si>
    <t>Improvements to the community sporting infrastructure including football, netball and cricket, oval lights, car parking facilities and upgrade of the Monahan Centre.  The project also includes replacement of the ageing utilities infrastructure at the caravan park.</t>
  </si>
  <si>
    <t>Tourist Parks and Boat Ramp Services</t>
  </si>
  <si>
    <t>Tourism and Economic Development</t>
  </si>
  <si>
    <t>Construction of a Hub that results in the intregration of functions and upgrade of facilities at the Queenscliff Library, Queenscliffe Visitor Information Centre and the Queenscliffe Historical Museum.</t>
  </si>
  <si>
    <t>Library</t>
  </si>
  <si>
    <t>Visitor Information Centre (VIC)</t>
  </si>
  <si>
    <t>Construction of new decking at the Queenscliffe &amp; District Neighbourhood House to enahance the utilisation, functionality and amenity of the this community facility.</t>
  </si>
  <si>
    <t>Installation of solar panels to achieve efficiencies in power usage.</t>
  </si>
  <si>
    <t>Environmental Sustainability</t>
  </si>
  <si>
    <t>Community Events</t>
  </si>
  <si>
    <t xml:space="preserve">Produce a Strategy to guide Council's future development, management and maintenance of the footpath network in Queenscliff and Point Lonsdale.  </t>
  </si>
  <si>
    <t>Aged Services</t>
  </si>
  <si>
    <t>Prepare a Plan for sub-division of Council freehold land in Murray Road, Queenscliff</t>
  </si>
  <si>
    <t>Provide a financial contribution to the Point Lonsdale Tennis Club to replace lighting infrastructure.</t>
  </si>
  <si>
    <t>Implement the recommendations of Council's Tourism and Directional Signage Plan</t>
  </si>
  <si>
    <t>Produce a Community Plan that examines the feasibility of introducing alternate energy supplies to the Borough of Queenscliffe.</t>
  </si>
  <si>
    <t>Financial and Risk Management</t>
  </si>
  <si>
    <t xml:space="preserve">Upgrade Street Signs to improve the standard of directional information.   </t>
  </si>
  <si>
    <t>Upgrade the King Street bus stop to address safety concerns as well as commercial parking opportunities.</t>
  </si>
  <si>
    <t>Undertake a full transition from mercury vapour street lights to energy efficient LED technology.</t>
  </si>
  <si>
    <t>Street Lighting</t>
  </si>
  <si>
    <t>Local Laws, Safety and Amenity</t>
  </si>
  <si>
    <t xml:space="preserve">Upgrade the Ocean View car park to include a new lookout platform, new kiosk and public toilet facilities, construct six sustainably designed eco-cabins, enhance walking tracks, picnic facilities and the improve the landscaping and amenities of the southern of Hesse Street. </t>
  </si>
  <si>
    <t xml:space="preserve">Construct new pathways and picnic facilities and install new interpretive signage in the Point Lonsdale Lighthouse Reserve.  Remove dilapidated buildings and undertake extensive noxious weed eradication prior to implementing a vegetation management program.   </t>
  </si>
  <si>
    <t>Construct picnic facilities, a public toilet and a walking path through and the  former High School site (Queenscliffe Park).</t>
  </si>
  <si>
    <t xml:space="preserve">Prepare a Plan for the former High School site (Queenscliffe Park) to accommodate asset improvements that support children and family friendly activities and events. </t>
  </si>
  <si>
    <t>Replace a small section of failing kerb and channel in Hobson Street, Queenscliff</t>
  </si>
  <si>
    <t>Produce a Plan to increase the level of public activity and amenity in the main street and central commencial centre in Queenscliff.</t>
  </si>
  <si>
    <t>Construct a new school crossing at the St Aloysius Catholic Primary School in Queenscliff.</t>
  </si>
  <si>
    <t>Complete the priority actions for building asset renewal in the Borough.</t>
  </si>
  <si>
    <t>Replace Council's information technology hardware as scheduled.</t>
  </si>
  <si>
    <t>Complete the priority actions for drainage asset renewal in the Borough.</t>
  </si>
  <si>
    <t>Complete the priority actions for renewal of fixtures and fittings in Council's building assets in the Borough.</t>
  </si>
  <si>
    <t>Complete the priority actions for footpath asset renewal in the Borough.</t>
  </si>
  <si>
    <t>Complete the priority actions for road asset renewal in the Borough.</t>
  </si>
  <si>
    <t>Complete the priority actions for renewal of Council's plant, machinery and equirpment.</t>
  </si>
  <si>
    <t>Complete the priority actions for open space and streetscape asset renewal in the Borough.</t>
  </si>
  <si>
    <t>Complete the priority actions for sport and recreation and community asset renewal in the Borough.</t>
  </si>
  <si>
    <t>Complete the priority road asset renewal in the Borough to be funded through the Federal Government's Roads to Recovery Program.</t>
  </si>
  <si>
    <t>Allocate resource for project management associated with the Destination Queenscliff project to meet the funding agreement conditions as applied by the Federal Government.</t>
  </si>
  <si>
    <t xml:space="preserve">Allocate resource for project management associated with specific capital projects (other than Destination Queenscliff) that have been funded through State and Federal Government grants </t>
  </si>
  <si>
    <t>Improvements to Council's road and footpath assets in Harbour Street to improve community safety and amenity.</t>
  </si>
  <si>
    <t>Complete the final stage of the Point Lonsdale Foreshore Revitalisation project that includes replacement of the public toilet facilities, enhancement of the viollage park and upgrade to an all abilities playground.</t>
  </si>
  <si>
    <t>Demolition of the poor standard sea Scouts Clubrooms and upgrade and extension of the Senior Citizens Hall to enable a shared use community facility for for the two community organisations and other community uses.</t>
  </si>
  <si>
    <t>Upgrading the shared walking cycling pathway from 'The Narrows' through to the Point Lonsdale Primary School to enhance the utility and safety for users.</t>
  </si>
  <si>
    <t>Upgrade of the Dog Beach car park to improve the amenity and vehicle and pedestrian safety.</t>
  </si>
  <si>
    <t>Improve the amenity of Council's high use public parks by providing ready access to driking water.</t>
  </si>
  <si>
    <t>Enhance the safety and amenity of a high use public pathway from the Queenscliff to Sorrento vehicle and passenger Ferry (carrying over 800,000 passengers per year) to the Queenscliff Pier.</t>
  </si>
  <si>
    <t>Improve the amenity and safety of the pathways around the Queenscliffe &amp; District Neighbourhood House.</t>
  </si>
  <si>
    <t>Examine and identify the cost benefits of lighting technology that might be applied to an area of high public use with identified community safety concerns.</t>
  </si>
  <si>
    <t>Construct a boardwalk from the Tobin Drive car park adjacent to Princes Park to the Queenscliff Front Beach to enable all abilities access and encourage walking.</t>
  </si>
  <si>
    <t>Trial a pilot project of CCTV camera installation at the Queenscliff Boat Ramp where vandalism and theft has occurred over recent years.</t>
  </si>
  <si>
    <t>Prduce a Master Plan to inform the future design and operation of the Queenscliff Recreation Reserve and adjacent Victoria Park.  This includes both the sport and recreation uses and the caravan park activities.</t>
  </si>
  <si>
    <t>Enhance the amenity of the vacant land immediately adjacent to the Queenscliffe Town Hall.</t>
  </si>
  <si>
    <t>Replacement and operationalisation of a new finance system including human resources/payroll functions.</t>
  </si>
  <si>
    <t>Council Governance</t>
  </si>
  <si>
    <t>Organisation Performance and Compliance</t>
  </si>
  <si>
    <t>Statutory fees - non-legislated</t>
  </si>
  <si>
    <t>User charges</t>
  </si>
  <si>
    <t>Kerbside waste charge</t>
  </si>
  <si>
    <t>Public waste charge</t>
  </si>
  <si>
    <t>Green waste charge</t>
  </si>
  <si>
    <t>Addition bin charge</t>
  </si>
  <si>
    <t>Insurance premiums</t>
  </si>
  <si>
    <t>Electricity</t>
  </si>
  <si>
    <t>Gas</t>
  </si>
  <si>
    <t>Water</t>
  </si>
  <si>
    <t>Postage</t>
  </si>
  <si>
    <t>Regional Library Contribution</t>
  </si>
  <si>
    <t>No growth</t>
  </si>
  <si>
    <t>Adopted Budget</t>
  </si>
  <si>
    <t>YTD Actual</t>
  </si>
  <si>
    <t>Full year effect of YTD Actual</t>
  </si>
  <si>
    <t>$12k incl. above (supp rates)</t>
  </si>
  <si>
    <t>$10k incl. above (supp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</si>
</sst>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
    <numFmt numFmtId="184" formatCode="0.000000000%"/>
    <numFmt numFmtId="185" formatCode="&quot;$&quot;#,##0.00"/>
  </numFmts>
  <fonts count="99"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u/>
      <sz val="10"/>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
      <i/>
      <sz val="10"/>
      <name val="Arial"/>
      <family val="2"/>
    </font>
    <font>
      <u/>
      <sz val="10"/>
      <name val="Arial"/>
      <family val="2"/>
    </font>
  </fonts>
  <fills count="4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FF00"/>
        <bgColor indexed="64"/>
      </patternFill>
    </fill>
    <fill>
      <patternFill patternType="solid">
        <fgColor rgb="FFFA62EF"/>
        <bgColor indexed="64"/>
      </patternFill>
    </fill>
  </fills>
  <borders count="183">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4659260841701"/>
      </left>
      <right/>
      <top style="thin">
        <color theme="0" tint="-0.24994659260841701"/>
      </top>
      <bottom/>
      <diagonal/>
    </border>
    <border>
      <left style="thin">
        <color auto="1"/>
      </left>
      <right style="thin">
        <color theme="0" tint="-0.34998626667073579"/>
      </right>
      <top style="thin">
        <color auto="1"/>
      </top>
      <bottom/>
      <diagonal/>
    </border>
    <border>
      <left style="thin">
        <color theme="0" tint="-0.34998626667073579"/>
      </left>
      <right/>
      <top style="thin">
        <color auto="1"/>
      </top>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1" applyNumberFormat="0" applyAlignment="0" applyProtection="0"/>
    <xf numFmtId="0" fontId="10" fillId="24" borderId="130" applyNumberFormat="0" applyFont="0" applyAlignment="0" applyProtection="0"/>
    <xf numFmtId="173" fontId="3" fillId="0" borderId="129" applyFill="0">
      <alignment horizontal="center" vertical="center"/>
    </xf>
    <xf numFmtId="173" fontId="3"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0" fontId="8" fillId="0" borderId="129" applyFill="0">
      <alignment horizontal="center" vertical="center"/>
    </xf>
    <xf numFmtId="0" fontId="8" fillId="0" borderId="129" applyFill="0">
      <alignment horizontal="center" vertical="center"/>
    </xf>
    <xf numFmtId="0" fontId="20" fillId="8" borderId="128" applyNumberFormat="0" applyAlignment="0" applyProtection="0"/>
    <xf numFmtId="0" fontId="13" fillId="21" borderId="128" applyNumberFormat="0" applyAlignment="0" applyProtection="0"/>
    <xf numFmtId="0" fontId="13" fillId="21" borderId="128" applyNumberFormat="0" applyAlignment="0" applyProtection="0"/>
    <xf numFmtId="0" fontId="20" fillId="8" borderId="128" applyNumberFormat="0" applyAlignment="0" applyProtection="0"/>
    <xf numFmtId="0" fontId="8" fillId="0" borderId="129" applyFill="0">
      <alignment horizontal="center" vertical="center"/>
    </xf>
    <xf numFmtId="0" fontId="8"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173" fontId="3" fillId="0" borderId="129" applyFill="0">
      <alignment horizontal="center" vertical="center"/>
    </xf>
    <xf numFmtId="173" fontId="3" fillId="0" borderId="129" applyFill="0">
      <alignment horizontal="center" vertical="center"/>
    </xf>
    <xf numFmtId="0" fontId="10" fillId="24" borderId="130" applyNumberFormat="0" applyFont="0" applyAlignment="0" applyProtection="0"/>
    <xf numFmtId="0" fontId="23" fillId="21" borderId="131" applyNumberFormat="0" applyAlignment="0" applyProtection="0"/>
    <xf numFmtId="0" fontId="30" fillId="0" borderId="132"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2"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6">
      <alignment vertical="center"/>
      <protection locked="0"/>
    </xf>
    <xf numFmtId="0" fontId="69" fillId="41" borderId="0" applyNumberFormat="0" applyBorder="0" applyAlignment="0" applyProtection="0"/>
    <xf numFmtId="0" fontId="54" fillId="0" borderId="0" applyNumberFormat="0" applyFill="0" applyBorder="0" applyAlignment="0" applyProtection="0"/>
  </cellStyleXfs>
  <cellXfs count="873">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5" borderId="56" xfId="0" applyFont="1" applyFill="1" applyBorder="1" applyAlignment="1">
      <alignment horizontal="center"/>
    </xf>
    <xf numFmtId="0" fontId="33" fillId="25" borderId="58" xfId="0" applyFont="1" applyFill="1" applyBorder="1" applyAlignment="1">
      <alignment horizontal="center"/>
    </xf>
    <xf numFmtId="0" fontId="33" fillId="2" borderId="55" xfId="0" applyFont="1" applyFill="1" applyBorder="1" applyAlignment="1">
      <alignment horizontal="left"/>
    </xf>
    <xf numFmtId="0" fontId="33" fillId="2" borderId="50" xfId="0" applyFont="1" applyFill="1" applyBorder="1" applyAlignment="1">
      <alignment horizontal="center"/>
    </xf>
    <xf numFmtId="175" fontId="33" fillId="25" borderId="50" xfId="131" applyNumberFormat="1" applyFont="1" applyFill="1" applyBorder="1"/>
    <xf numFmtId="173" fontId="33" fillId="2" borderId="66" xfId="8" applyNumberFormat="1" applyFont="1" applyFill="1" applyBorder="1" applyAlignment="1">
      <alignment horizontal="center" vertical="center"/>
    </xf>
    <xf numFmtId="0" fontId="33" fillId="2" borderId="57"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68" xfId="8" applyNumberFormat="1" applyFont="1" applyFill="1" applyBorder="1" applyAlignment="1">
      <alignment horizontal="center" vertical="center"/>
    </xf>
    <xf numFmtId="0" fontId="33" fillId="2" borderId="59" xfId="0" applyFont="1" applyFill="1" applyBorder="1" applyAlignment="1">
      <alignment horizontal="left"/>
    </xf>
    <xf numFmtId="0" fontId="33" fillId="26" borderId="69" xfId="0" applyFont="1" applyFill="1" applyBorder="1" applyAlignment="1">
      <alignment horizontal="center"/>
    </xf>
    <xf numFmtId="175" fontId="33" fillId="25" borderId="70" xfId="131" applyNumberFormat="1" applyFont="1" applyFill="1" applyBorder="1"/>
    <xf numFmtId="0" fontId="33" fillId="25" borderId="75"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174" fontId="33" fillId="25" borderId="80" xfId="0"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1" xfId="131" applyNumberFormat="1" applyFont="1" applyFill="1" applyBorder="1" applyAlignment="1">
      <alignment horizontal="center"/>
    </xf>
    <xf numFmtId="175" fontId="33" fillId="2" borderId="81" xfId="131" applyNumberFormat="1" applyFont="1" applyFill="1" applyBorder="1" applyAlignment="1">
      <alignment horizontal="center"/>
    </xf>
    <xf numFmtId="175" fontId="33" fillId="25" borderId="82" xfId="131" applyNumberFormat="1" applyFont="1" applyFill="1" applyBorder="1" applyAlignment="1">
      <alignment horizontal="center"/>
    </xf>
    <xf numFmtId="0" fontId="33" fillId="2" borderId="83" xfId="0" applyFont="1" applyFill="1" applyBorder="1"/>
    <xf numFmtId="0" fontId="44" fillId="2" borderId="84" xfId="1" applyFont="1" applyFill="1" applyBorder="1">
      <alignment vertical="center"/>
    </xf>
    <xf numFmtId="0" fontId="33" fillId="2" borderId="84" xfId="0" applyFont="1" applyFill="1" applyBorder="1" applyAlignment="1">
      <alignment horizontal="center" vertical="center" wrapText="1"/>
    </xf>
    <xf numFmtId="0" fontId="33" fillId="2" borderId="84" xfId="0" applyFont="1" applyFill="1" applyBorder="1" applyAlignment="1">
      <alignment horizontal="center" vertical="center"/>
    </xf>
    <xf numFmtId="0" fontId="33" fillId="2" borderId="84" xfId="0" applyFont="1" applyFill="1" applyBorder="1"/>
    <xf numFmtId="0" fontId="33" fillId="2" borderId="85" xfId="0" applyFont="1" applyFill="1" applyBorder="1"/>
    <xf numFmtId="0" fontId="33" fillId="2" borderId="86" xfId="0" applyFont="1" applyFill="1" applyBorder="1"/>
    <xf numFmtId="0" fontId="37" fillId="2" borderId="0" xfId="0" applyFont="1" applyFill="1" applyBorder="1" applyAlignment="1">
      <alignment horizontal="center" vertical="center" wrapText="1"/>
    </xf>
    <xf numFmtId="0" fontId="33" fillId="2" borderId="84" xfId="0" applyFont="1" applyFill="1" applyBorder="1" applyAlignment="1">
      <alignment horizontal="center"/>
    </xf>
    <xf numFmtId="0" fontId="41" fillId="2" borderId="87" xfId="0" applyFont="1" applyFill="1" applyBorder="1" applyAlignment="1">
      <alignment horizontal="center"/>
    </xf>
    <xf numFmtId="0" fontId="33" fillId="2" borderId="88" xfId="0" applyFont="1" applyFill="1" applyBorder="1"/>
    <xf numFmtId="175" fontId="33" fillId="2" borderId="93" xfId="131" applyNumberFormat="1" applyFont="1" applyFill="1" applyBorder="1" applyAlignment="1">
      <alignment horizontal="center"/>
    </xf>
    <xf numFmtId="175" fontId="33" fillId="2" borderId="94"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5" xfId="0" applyFont="1" applyFill="1" applyBorder="1" applyAlignment="1">
      <alignment horizontal="left" wrapText="1"/>
    </xf>
    <xf numFmtId="0" fontId="33" fillId="2" borderId="96" xfId="0" applyFont="1" applyFill="1" applyBorder="1"/>
    <xf numFmtId="175" fontId="33" fillId="25" borderId="70" xfId="131" applyNumberFormat="1" applyFont="1" applyFill="1" applyBorder="1" applyAlignment="1">
      <alignment horizontal="center" vertical="center"/>
    </xf>
    <xf numFmtId="175" fontId="33" fillId="2" borderId="70"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98" xfId="131" applyNumberFormat="1" applyFont="1" applyFill="1" applyBorder="1" applyAlignment="1">
      <alignment horizontal="center" vertical="center"/>
    </xf>
    <xf numFmtId="175" fontId="33" fillId="2" borderId="98" xfId="131" applyNumberFormat="1" applyFont="1" applyFill="1" applyBorder="1" applyAlignment="1">
      <alignment horizontal="center" vertical="center"/>
    </xf>
    <xf numFmtId="0" fontId="33" fillId="2" borderId="100" xfId="0" applyFont="1" applyFill="1" applyBorder="1" applyAlignment="1">
      <alignment horizontal="left" wrapText="1"/>
    </xf>
    <xf numFmtId="0" fontId="33" fillId="2" borderId="101" xfId="0" applyFont="1" applyFill="1" applyBorder="1"/>
    <xf numFmtId="175" fontId="33" fillId="25" borderId="102" xfId="131" applyNumberFormat="1" applyFont="1" applyFill="1" applyBorder="1" applyAlignment="1">
      <alignment horizontal="center" vertical="center"/>
    </xf>
    <xf numFmtId="175" fontId="33" fillId="2" borderId="102" xfId="131" applyNumberFormat="1" applyFont="1" applyFill="1" applyBorder="1" applyAlignment="1">
      <alignment horizontal="center" vertical="center"/>
    </xf>
    <xf numFmtId="0" fontId="37" fillId="2" borderId="100" xfId="0" applyFont="1" applyFill="1" applyBorder="1" applyAlignment="1">
      <alignment horizontal="left" vertical="center" wrapText="1"/>
    </xf>
    <xf numFmtId="0" fontId="33" fillId="2" borderId="105" xfId="0" applyFont="1" applyFill="1" applyBorder="1" applyAlignment="1">
      <alignment horizontal="left" wrapText="1"/>
    </xf>
    <xf numFmtId="0" fontId="33" fillId="2" borderId="106" xfId="0" applyFont="1" applyFill="1" applyBorder="1"/>
    <xf numFmtId="175" fontId="33" fillId="25" borderId="107" xfId="131" applyNumberFormat="1" applyFont="1" applyFill="1" applyBorder="1" applyAlignment="1">
      <alignment horizontal="center" vertical="center"/>
    </xf>
    <xf numFmtId="175" fontId="33" fillId="2" borderId="107"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xf>
    <xf numFmtId="176" fontId="33" fillId="25" borderId="109"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2" xfId="0" applyNumberFormat="1" applyFont="1" applyFill="1" applyBorder="1" applyAlignment="1">
      <alignment horizontal="center" vertical="center" wrapText="1"/>
    </xf>
    <xf numFmtId="0" fontId="33" fillId="2" borderId="8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7"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0" xfId="0" applyNumberFormat="1" applyFont="1" applyFill="1" applyBorder="1" applyAlignment="1">
      <alignment horizontal="center" vertical="center" wrapText="1"/>
    </xf>
    <xf numFmtId="0" fontId="33" fillId="2" borderId="111"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98" xfId="131" applyNumberFormat="1" applyFont="1" applyFill="1" applyBorder="1" applyAlignment="1">
      <alignment horizontal="center" vertical="center"/>
    </xf>
    <xf numFmtId="175" fontId="33" fillId="26" borderId="102" xfId="131" applyNumberFormat="1" applyFont="1" applyFill="1" applyBorder="1" applyAlignment="1">
      <alignment horizontal="center" vertical="center"/>
    </xf>
    <xf numFmtId="175" fontId="33" fillId="2" borderId="102"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2" xfId="0" applyNumberFormat="1" applyFont="1" applyFill="1" applyBorder="1" applyAlignment="1">
      <alignment horizontal="center" vertical="center" wrapText="1"/>
    </xf>
    <xf numFmtId="167" fontId="33" fillId="2" borderId="109" xfId="131" applyNumberFormat="1" applyFont="1" applyFill="1" applyBorder="1" applyAlignment="1">
      <alignment horizontal="center" vertical="center" wrapText="1"/>
    </xf>
    <xf numFmtId="167" fontId="33" fillId="2" borderId="109" xfId="0" applyNumberFormat="1" applyFont="1" applyFill="1" applyBorder="1" applyAlignment="1">
      <alignment horizontal="center" wrapText="1"/>
    </xf>
    <xf numFmtId="167" fontId="33" fillId="2" borderId="80"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7"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2"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3" xfId="0" applyNumberFormat="1" applyFont="1" applyFill="1" applyBorder="1" applyAlignment="1">
      <alignment horizontal="center" wrapText="1"/>
    </xf>
    <xf numFmtId="173" fontId="33" fillId="2" borderId="110"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4"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5"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99" xfId="133" applyFont="1" applyFill="1" applyBorder="1" applyAlignment="1">
      <alignment horizontal="center" vertical="center"/>
    </xf>
    <xf numFmtId="9" fontId="33" fillId="2" borderId="103" xfId="133" applyFont="1" applyFill="1" applyBorder="1" applyAlignment="1">
      <alignment horizontal="center" vertical="center"/>
    </xf>
    <xf numFmtId="9" fontId="33" fillId="2" borderId="104" xfId="133" applyFont="1" applyFill="1" applyBorder="1"/>
    <xf numFmtId="9" fontId="33" fillId="2" borderId="108" xfId="133" applyFont="1" applyFill="1" applyBorder="1" applyAlignment="1">
      <alignment horizontal="center" vertical="center"/>
    </xf>
    <xf numFmtId="9" fontId="33" fillId="2" borderId="97" xfId="133" applyFont="1" applyFill="1" applyBorder="1" applyAlignment="1">
      <alignment horizontal="center" vertical="center"/>
    </xf>
    <xf numFmtId="0" fontId="50" fillId="2" borderId="0" xfId="5" applyFont="1" applyFill="1" applyAlignment="1">
      <alignment vertical="center"/>
      <protection locked="0"/>
    </xf>
    <xf numFmtId="174" fontId="33" fillId="2" borderId="112"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2" xfId="0" applyNumberFormat="1" applyFont="1" applyFill="1" applyBorder="1" applyAlignment="1">
      <alignment horizontal="center" vertical="center" wrapText="1"/>
    </xf>
    <xf numFmtId="0" fontId="33" fillId="2" borderId="117"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18" xfId="0" applyFont="1" applyFill="1" applyBorder="1"/>
    <xf numFmtId="0" fontId="33" fillId="2" borderId="117" xfId="0" applyFont="1" applyFill="1" applyBorder="1" applyAlignment="1">
      <alignment horizontal="center" vertical="center"/>
    </xf>
    <xf numFmtId="0" fontId="33" fillId="2" borderId="117" xfId="0" applyNumberFormat="1" applyFont="1" applyFill="1" applyBorder="1" applyAlignment="1">
      <alignment horizontal="center" vertical="center" wrapText="1"/>
    </xf>
    <xf numFmtId="0" fontId="33" fillId="2" borderId="87" xfId="0" applyFont="1" applyFill="1" applyBorder="1"/>
    <xf numFmtId="174" fontId="33" fillId="2" borderId="117"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5" borderId="65" xfId="131" applyNumberFormat="1" applyFont="1" applyFill="1" applyBorder="1" applyAlignment="1">
      <alignment vertical="center"/>
    </xf>
    <xf numFmtId="175" fontId="33" fillId="26" borderId="65"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7" xfId="131" applyNumberFormat="1" applyFont="1" applyFill="1" applyBorder="1" applyAlignment="1">
      <alignment vertical="center"/>
    </xf>
    <xf numFmtId="175" fontId="33" fillId="26" borderId="67" xfId="131" applyNumberFormat="1" applyFont="1" applyFill="1" applyBorder="1" applyAlignment="1">
      <alignment vertical="center"/>
    </xf>
    <xf numFmtId="175" fontId="33" fillId="25" borderId="70" xfId="131" applyNumberFormat="1" applyFont="1" applyFill="1" applyBorder="1" applyAlignment="1">
      <alignment vertical="center"/>
    </xf>
    <xf numFmtId="175" fontId="33" fillId="25" borderId="71" xfId="131" applyNumberFormat="1" applyFont="1" applyFill="1" applyBorder="1" applyAlignment="1">
      <alignment vertical="center"/>
    </xf>
    <xf numFmtId="175" fontId="33" fillId="26" borderId="119"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33" borderId="117"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7" xfId="0" applyNumberFormat="1" applyFont="1" applyFill="1" applyBorder="1" applyAlignment="1">
      <alignment horizontal="center" vertical="center" wrapText="1"/>
    </xf>
    <xf numFmtId="0" fontId="38" fillId="2" borderId="116" xfId="1" applyFont="1" applyFill="1" applyBorder="1">
      <alignment vertical="center"/>
    </xf>
    <xf numFmtId="166" fontId="33" fillId="2" borderId="120" xfId="8" applyNumberFormat="1" applyFont="1" applyFill="1" applyBorder="1">
      <alignment horizontal="right" vertical="center"/>
    </xf>
    <xf numFmtId="0" fontId="33" fillId="2" borderId="121" xfId="0" applyFont="1" applyFill="1" applyBorder="1"/>
    <xf numFmtId="0" fontId="33" fillId="2" borderId="122" xfId="0" applyFont="1" applyFill="1" applyBorder="1"/>
    <xf numFmtId="0" fontId="33" fillId="2" borderId="122" xfId="0" applyFont="1" applyFill="1" applyBorder="1" applyAlignment="1">
      <alignment horizontal="center" vertical="center" wrapText="1"/>
    </xf>
    <xf numFmtId="0" fontId="33" fillId="2" borderId="122" xfId="0" applyFont="1" applyFill="1" applyBorder="1" applyAlignment="1">
      <alignment horizontal="center" vertical="center"/>
    </xf>
    <xf numFmtId="0" fontId="33" fillId="2" borderId="122" xfId="0" applyNumberFormat="1" applyFont="1" applyFill="1" applyBorder="1" applyAlignment="1">
      <alignment horizontal="center" vertical="center" wrapText="1"/>
    </xf>
    <xf numFmtId="0" fontId="33" fillId="2" borderId="123" xfId="0" applyFont="1" applyFill="1" applyBorder="1"/>
    <xf numFmtId="0" fontId="33" fillId="2" borderId="87" xfId="0" applyFont="1" applyFill="1" applyBorder="1" applyAlignment="1">
      <alignment horizontal="center" vertical="center" wrapText="1"/>
    </xf>
    <xf numFmtId="0" fontId="33" fillId="2" borderId="87" xfId="0" applyFont="1" applyFill="1" applyBorder="1" applyAlignment="1">
      <alignment horizontal="center" vertical="center"/>
    </xf>
    <xf numFmtId="175" fontId="33" fillId="25" borderId="69" xfId="131" applyNumberFormat="1" applyFont="1" applyFill="1" applyBorder="1" applyAlignment="1">
      <alignment vertical="center"/>
    </xf>
    <xf numFmtId="175" fontId="33" fillId="25" borderId="119" xfId="131" applyNumberFormat="1" applyFont="1" applyFill="1" applyBorder="1" applyAlignment="1">
      <alignment vertical="center"/>
    </xf>
    <xf numFmtId="175" fontId="33" fillId="25" borderId="69" xfId="131" applyNumberFormat="1" applyFont="1" applyFill="1" applyBorder="1"/>
    <xf numFmtId="0" fontId="33" fillId="2" borderId="100"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6" xfId="0" applyFont="1" applyFill="1" applyBorder="1"/>
    <xf numFmtId="0" fontId="52" fillId="2" borderId="116"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7" xfId="0" applyFont="1" applyFill="1" applyBorder="1" applyAlignment="1">
      <alignment horizontal="center" vertical="center"/>
    </xf>
    <xf numFmtId="0" fontId="33" fillId="2" borderId="118"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09" xfId="131" applyNumberFormat="1" applyFont="1" applyFill="1" applyBorder="1" applyAlignment="1">
      <alignment horizontal="center" vertical="center" wrapText="1"/>
    </xf>
    <xf numFmtId="0" fontId="33" fillId="2" borderId="80"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7" xfId="0" applyFont="1" applyBorder="1"/>
    <xf numFmtId="0" fontId="33" fillId="0" borderId="138" xfId="0" applyFont="1" applyBorder="1"/>
    <xf numFmtId="0" fontId="33" fillId="2" borderId="138" xfId="0" applyFont="1" applyFill="1" applyBorder="1" applyAlignment="1">
      <alignment horizontal="center"/>
    </xf>
    <xf numFmtId="0" fontId="33" fillId="2" borderId="139"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6" xfId="0" applyFont="1" applyBorder="1"/>
    <xf numFmtId="0" fontId="33" fillId="0" borderId="87" xfId="0" applyFont="1" applyBorder="1"/>
    <xf numFmtId="0" fontId="33" fillId="0" borderId="87" xfId="0" applyFont="1" applyBorder="1" applyAlignment="1">
      <alignment horizontal="center"/>
    </xf>
    <xf numFmtId="0" fontId="33" fillId="0" borderId="88"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7" xfId="0" applyFont="1" applyFill="1" applyBorder="1" applyAlignment="1">
      <alignment horizontal="center"/>
    </xf>
    <xf numFmtId="0" fontId="33" fillId="2" borderId="137" xfId="0" applyFont="1" applyFill="1" applyBorder="1"/>
    <xf numFmtId="0" fontId="33" fillId="2" borderId="138" xfId="0" applyFont="1" applyFill="1" applyBorder="1"/>
    <xf numFmtId="172" fontId="70" fillId="41" borderId="129" xfId="262" applyNumberFormat="1" applyFont="1" applyBorder="1" applyAlignment="1">
      <alignment horizontal="center" vertical="center"/>
    </xf>
    <xf numFmtId="0" fontId="33" fillId="2" borderId="140" xfId="0" applyFont="1" applyFill="1" applyBorder="1"/>
    <xf numFmtId="0" fontId="33" fillId="2" borderId="141" xfId="0" applyFont="1" applyFill="1" applyBorder="1"/>
    <xf numFmtId="0" fontId="33" fillId="2" borderId="141" xfId="0" applyFont="1" applyFill="1" applyBorder="1" applyAlignment="1">
      <alignment horizontal="center" vertical="center" wrapText="1"/>
    </xf>
    <xf numFmtId="0" fontId="33" fillId="2" borderId="141" xfId="0" applyFont="1" applyFill="1" applyBorder="1" applyAlignment="1">
      <alignment horizontal="center" vertical="center"/>
    </xf>
    <xf numFmtId="0" fontId="33" fillId="2" borderId="141" xfId="0" applyNumberFormat="1" applyFont="1" applyFill="1" applyBorder="1" applyAlignment="1">
      <alignment horizontal="center" vertical="center" wrapText="1"/>
    </xf>
    <xf numFmtId="0" fontId="33" fillId="2" borderId="142" xfId="0" applyFont="1" applyFill="1" applyBorder="1"/>
    <xf numFmtId="0" fontId="33" fillId="2" borderId="124" xfId="0" applyFont="1" applyFill="1" applyBorder="1" applyAlignment="1">
      <alignment horizontal="center" vertical="center"/>
    </xf>
    <xf numFmtId="174" fontId="33" fillId="2" borderId="124" xfId="0" applyNumberFormat="1" applyFont="1" applyFill="1" applyBorder="1" applyAlignment="1">
      <alignment horizontal="center" vertical="center" wrapText="1"/>
    </xf>
    <xf numFmtId="0" fontId="33" fillId="2" borderId="124" xfId="0" applyNumberFormat="1" applyFont="1" applyFill="1" applyBorder="1" applyAlignment="1">
      <alignment horizontal="center" vertical="center" wrapText="1"/>
    </xf>
    <xf numFmtId="0" fontId="71" fillId="2" borderId="0" xfId="0" applyFont="1" applyFill="1"/>
    <xf numFmtId="0" fontId="72" fillId="2" borderId="0" xfId="0" applyFont="1" applyFill="1"/>
    <xf numFmtId="0" fontId="73" fillId="2" borderId="5" xfId="0" applyFont="1" applyFill="1" applyBorder="1"/>
    <xf numFmtId="0" fontId="73" fillId="2" borderId="0" xfId="0" applyFont="1" applyFill="1"/>
    <xf numFmtId="0" fontId="74" fillId="2" borderId="0" xfId="0" applyFont="1" applyFill="1"/>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4" xfId="0" applyBorder="1"/>
    <xf numFmtId="0" fontId="0" fillId="2" borderId="116"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33" fillId="32" borderId="145" xfId="0" applyFont="1" applyFill="1" applyBorder="1" applyAlignment="1"/>
    <xf numFmtId="0" fontId="52" fillId="26" borderId="0" xfId="0" applyFont="1" applyFill="1" applyAlignment="1"/>
    <xf numFmtId="175" fontId="33" fillId="32" borderId="43" xfId="131" applyNumberFormat="1" applyFont="1" applyFill="1" applyBorder="1" applyAlignment="1"/>
    <xf numFmtId="175" fontId="37" fillId="2" borderId="42" xfId="0" applyNumberFormat="1" applyFont="1" applyFill="1" applyBorder="1" applyAlignment="1">
      <alignment vertical="center"/>
    </xf>
    <xf numFmtId="175" fontId="33" fillId="32" borderId="42" xfId="131" applyNumberFormat="1" applyFont="1" applyFill="1" applyBorder="1" applyAlignment="1"/>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6" xfId="0" applyFont="1" applyFill="1" applyBorder="1" applyAlignment="1"/>
    <xf numFmtId="0" fontId="37" fillId="2" borderId="17" xfId="0" applyFont="1" applyFill="1" applyBorder="1" applyAlignment="1"/>
    <xf numFmtId="0" fontId="67" fillId="2" borderId="0" xfId="0" applyFont="1" applyFill="1"/>
    <xf numFmtId="0" fontId="37" fillId="2" borderId="146" xfId="0" applyFont="1" applyFill="1" applyBorder="1" applyAlignment="1">
      <alignment wrapText="1"/>
    </xf>
    <xf numFmtId="0" fontId="37" fillId="2" borderId="147" xfId="0" applyFont="1" applyFill="1" applyBorder="1" applyAlignment="1">
      <alignment wrapText="1"/>
    </xf>
    <xf numFmtId="0" fontId="37" fillId="2" borderId="148" xfId="0" applyFont="1" applyFill="1" applyBorder="1" applyAlignment="1">
      <alignment wrapText="1"/>
    </xf>
    <xf numFmtId="0" fontId="33" fillId="0" borderId="118" xfId="233" applyFont="1" applyFill="1" applyBorder="1" applyAlignment="1"/>
    <xf numFmtId="0" fontId="37" fillId="0" borderId="118" xfId="233" applyFont="1" applyFill="1" applyBorder="1" applyAlignment="1"/>
    <xf numFmtId="175" fontId="33" fillId="2" borderId="43" xfId="131" applyNumberFormat="1" applyFont="1" applyFill="1" applyBorder="1" applyAlignment="1"/>
    <xf numFmtId="0" fontId="37" fillId="2" borderId="111"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32" borderId="118" xfId="131" applyNumberFormat="1" applyFont="1" applyFill="1" applyBorder="1" applyAlignment="1"/>
    <xf numFmtId="175" fontId="33" fillId="2" borderId="118" xfId="131" applyNumberFormat="1" applyFont="1" applyFill="1" applyBorder="1" applyAlignment="1"/>
    <xf numFmtId="175" fontId="37" fillId="2" borderId="111" xfId="0" applyNumberFormat="1" applyFont="1" applyFill="1" applyBorder="1" applyAlignment="1">
      <alignment vertical="center"/>
    </xf>
    <xf numFmtId="0" fontId="37" fillId="2" borderId="147" xfId="0" applyFont="1" applyFill="1" applyBorder="1" applyAlignment="1"/>
    <xf numFmtId="0" fontId="37" fillId="2" borderId="148" xfId="0" applyFont="1" applyFill="1" applyBorder="1" applyAlignment="1"/>
    <xf numFmtId="0" fontId="37" fillId="2" borderId="118"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1" xfId="0" applyFont="1" applyFill="1" applyBorder="1"/>
    <xf numFmtId="0" fontId="37" fillId="2" borderId="146" xfId="0" applyFont="1" applyFill="1" applyBorder="1" applyAlignment="1"/>
    <xf numFmtId="175" fontId="37" fillId="2" borderId="118" xfId="0" applyNumberFormat="1" applyFont="1" applyFill="1" applyBorder="1" applyAlignment="1">
      <alignment vertical="center"/>
    </xf>
    <xf numFmtId="0" fontId="37" fillId="2" borderId="146" xfId="0" applyFont="1" applyFill="1" applyBorder="1"/>
    <xf numFmtId="0" fontId="33" fillId="2" borderId="111"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18" xfId="0" applyFont="1" applyFill="1" applyBorder="1" applyAlignment="1">
      <alignment horizontal="left" indent="2"/>
    </xf>
    <xf numFmtId="0" fontId="33" fillId="2" borderId="149" xfId="0" applyFont="1" applyFill="1" applyBorder="1"/>
    <xf numFmtId="175" fontId="33" fillId="2" borderId="150" xfId="0" applyNumberFormat="1" applyFont="1" applyFill="1" applyBorder="1"/>
    <xf numFmtId="0" fontId="75" fillId="2" borderId="111"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2" xfId="0" applyFont="1" applyFill="1" applyBorder="1"/>
    <xf numFmtId="0" fontId="33" fillId="32" borderId="100" xfId="0" applyFont="1" applyFill="1" applyBorder="1"/>
    <xf numFmtId="175" fontId="33" fillId="32" borderId="42" xfId="0" applyNumberFormat="1" applyFont="1" applyFill="1" applyBorder="1"/>
    <xf numFmtId="174" fontId="33" fillId="2" borderId="145" xfId="0" applyNumberFormat="1" applyFont="1" applyFill="1" applyBorder="1" applyAlignment="1">
      <alignment horizontal="center" wrapText="1"/>
    </xf>
    <xf numFmtId="166" fontId="33" fillId="2" borderId="87" xfId="8" applyNumberFormat="1" applyFont="1" applyFill="1" applyBorder="1">
      <alignment horizontal="right" vertical="center"/>
    </xf>
    <xf numFmtId="174" fontId="33" fillId="2" borderId="145" xfId="0" applyNumberFormat="1" applyFont="1" applyFill="1" applyBorder="1" applyAlignment="1">
      <alignment horizontal="center" vertical="center" wrapText="1"/>
    </xf>
    <xf numFmtId="175" fontId="33" fillId="25" borderId="155" xfId="131" applyNumberFormat="1" applyFont="1" applyFill="1" applyBorder="1"/>
    <xf numFmtId="175" fontId="33" fillId="25" borderId="156" xfId="131" applyNumberFormat="1" applyFont="1" applyFill="1" applyBorder="1"/>
    <xf numFmtId="0" fontId="33" fillId="2" borderId="145" xfId="0" applyFont="1" applyFill="1" applyBorder="1" applyAlignment="1">
      <alignment horizontal="center" vertical="center" wrapText="1"/>
    </xf>
    <xf numFmtId="0" fontId="33" fillId="28" borderId="0" xfId="0" applyFont="1" applyFill="1" applyBorder="1" applyAlignment="1">
      <alignment horizontal="right"/>
    </xf>
    <xf numFmtId="175" fontId="33" fillId="25" borderId="157" xfId="131" applyNumberFormat="1" applyFont="1" applyFill="1" applyBorder="1" applyAlignment="1">
      <alignment horizontal="center"/>
    </xf>
    <xf numFmtId="175" fontId="33" fillId="25" borderId="158" xfId="131" applyNumberFormat="1" applyFont="1" applyFill="1" applyBorder="1" applyAlignment="1">
      <alignment horizontal="center"/>
    </xf>
    <xf numFmtId="9" fontId="33" fillId="30" borderId="124" xfId="133" applyFont="1" applyFill="1" applyBorder="1"/>
    <xf numFmtId="178" fontId="33" fillId="2" borderId="42" xfId="133" applyNumberFormat="1" applyFont="1" applyFill="1" applyBorder="1" applyAlignment="1">
      <alignment horizontal="center"/>
    </xf>
    <xf numFmtId="0" fontId="33" fillId="2" borderId="153" xfId="0" applyFont="1" applyFill="1" applyBorder="1" applyAlignment="1"/>
    <xf numFmtId="0" fontId="33" fillId="2" borderId="154" xfId="0" applyFont="1" applyFill="1" applyBorder="1" applyAlignment="1"/>
    <xf numFmtId="0" fontId="33" fillId="2" borderId="152" xfId="0" applyFont="1" applyFill="1" applyBorder="1" applyAlignment="1"/>
    <xf numFmtId="0" fontId="33" fillId="2" borderId="150" xfId="0" applyFont="1" applyFill="1" applyBorder="1" applyAlignment="1">
      <alignment wrapText="1"/>
    </xf>
    <xf numFmtId="0" fontId="33" fillId="2" borderId="151" xfId="0" applyFont="1" applyFill="1" applyBorder="1" applyAlignment="1">
      <alignment wrapText="1"/>
    </xf>
    <xf numFmtId="0" fontId="33" fillId="2" borderId="149" xfId="0" applyFont="1" applyFill="1" applyBorder="1" applyAlignment="1">
      <alignment wrapText="1"/>
    </xf>
    <xf numFmtId="0" fontId="33" fillId="2" borderId="116" xfId="0" applyFont="1" applyFill="1" applyBorder="1" applyAlignment="1">
      <alignment wrapText="1"/>
    </xf>
    <xf numFmtId="0" fontId="33" fillId="2" borderId="17" xfId="0" applyFont="1" applyFill="1" applyBorder="1" applyAlignment="1">
      <alignment wrapText="1"/>
    </xf>
    <xf numFmtId="0" fontId="33" fillId="2" borderId="150" xfId="0" applyFont="1" applyFill="1" applyBorder="1" applyAlignment="1">
      <alignment horizontal="center" vertical="center" wrapText="1"/>
    </xf>
    <xf numFmtId="0" fontId="33" fillId="2" borderId="150"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8" fontId="33" fillId="2" borderId="118" xfId="133" applyNumberFormat="1" applyFont="1" applyFill="1" applyBorder="1" applyAlignment="1">
      <alignment horizontal="center" wrapText="1"/>
    </xf>
    <xf numFmtId="175" fontId="33" fillId="32" borderId="42" xfId="131" applyNumberFormat="1" applyFont="1" applyFill="1" applyBorder="1" applyAlignment="1">
      <alignment wrapText="1"/>
    </xf>
    <xf numFmtId="175" fontId="33" fillId="32" borderId="43" xfId="131" applyNumberFormat="1" applyFont="1" applyFill="1" applyBorder="1" applyAlignment="1">
      <alignment wrapText="1"/>
    </xf>
    <xf numFmtId="175" fontId="33" fillId="32" borderId="118" xfId="131" applyNumberFormat="1" applyFont="1" applyFill="1" applyBorder="1" applyAlignment="1">
      <alignment wrapText="1"/>
    </xf>
    <xf numFmtId="175" fontId="33" fillId="32" borderId="42" xfId="131" applyNumberFormat="1" applyFont="1" applyFill="1" applyBorder="1"/>
    <xf numFmtId="175" fontId="33" fillId="2" borderId="66" xfId="131" applyNumberFormat="1" applyFont="1" applyFill="1" applyBorder="1" applyAlignment="1">
      <alignment horizontal="center" vertical="center"/>
    </xf>
    <xf numFmtId="175" fontId="33" fillId="2" borderId="68"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7" fillId="33" borderId="117" xfId="131" applyNumberFormat="1" applyFont="1" applyFill="1" applyBorder="1" applyAlignment="1">
      <alignment horizontal="right" vertical="center"/>
    </xf>
    <xf numFmtId="175" fontId="33" fillId="2" borderId="72" xfId="131" applyNumberFormat="1" applyFont="1" applyFill="1" applyBorder="1" applyAlignment="1">
      <alignment horizontal="center" vertical="center"/>
    </xf>
    <xf numFmtId="0" fontId="33" fillId="2" borderId="0" xfId="0" applyFont="1" applyFill="1" applyBorder="1" applyAlignment="1"/>
    <xf numFmtId="0" fontId="33" fillId="2" borderId="116" xfId="0" applyFont="1" applyFill="1" applyBorder="1" applyAlignment="1"/>
    <xf numFmtId="0" fontId="33" fillId="2" borderId="17" xfId="0" applyFont="1" applyFill="1" applyBorder="1" applyAlignment="1"/>
    <xf numFmtId="0" fontId="33" fillId="2" borderId="147" xfId="0" applyFont="1" applyFill="1" applyBorder="1" applyAlignment="1"/>
    <xf numFmtId="0" fontId="33" fillId="2" borderId="148" xfId="0" applyFont="1" applyFill="1" applyBorder="1" applyAlignment="1"/>
    <xf numFmtId="0" fontId="33" fillId="2" borderId="146"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18"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2" xfId="0" applyFont="1" applyFill="1" applyBorder="1" applyAlignment="1">
      <alignment wrapText="1"/>
    </xf>
    <xf numFmtId="0" fontId="37" fillId="2" borderId="153" xfId="0" applyFont="1" applyFill="1" applyBorder="1" applyAlignment="1">
      <alignment wrapText="1"/>
    </xf>
    <xf numFmtId="0" fontId="37" fillId="2" borderId="154" xfId="0" applyFont="1" applyFill="1" applyBorder="1" applyAlignment="1">
      <alignment wrapText="1"/>
    </xf>
    <xf numFmtId="0" fontId="37" fillId="2" borderId="153" xfId="0" applyFont="1" applyFill="1" applyBorder="1" applyAlignment="1"/>
    <xf numFmtId="0" fontId="37" fillId="2" borderId="154" xfId="0" applyFont="1" applyFill="1" applyBorder="1" applyAlignment="1"/>
    <xf numFmtId="0" fontId="33" fillId="26" borderId="17" xfId="0" applyFont="1" applyFill="1" applyBorder="1"/>
    <xf numFmtId="0" fontId="33" fillId="26" borderId="0" xfId="0" applyFont="1" applyFill="1" applyBorder="1" applyAlignment="1"/>
    <xf numFmtId="0" fontId="33" fillId="26" borderId="116" xfId="0" applyFont="1" applyFill="1" applyBorder="1" applyAlignment="1"/>
    <xf numFmtId="0" fontId="33" fillId="2" borderId="116" xfId="0" applyFont="1" applyFill="1" applyBorder="1" applyAlignment="1">
      <alignment horizontal="center" vertical="center" wrapText="1"/>
    </xf>
    <xf numFmtId="0" fontId="33" fillId="2" borderId="19" xfId="0" applyFont="1" applyFill="1" applyBorder="1"/>
    <xf numFmtId="178" fontId="33" fillId="2" borderId="114" xfId="133" applyNumberFormat="1" applyFont="1" applyFill="1" applyBorder="1" applyAlignment="1">
      <alignment horizontal="center" wrapText="1"/>
    </xf>
    <xf numFmtId="178" fontId="33" fillId="2" borderId="0" xfId="0" applyNumberFormat="1" applyFont="1" applyFill="1" applyBorder="1" applyAlignment="1">
      <alignment wrapText="1"/>
    </xf>
    <xf numFmtId="178" fontId="33" fillId="2" borderId="17" xfId="0" applyNumberFormat="1" applyFont="1" applyFill="1" applyBorder="1" applyAlignment="1">
      <alignment wrapText="1"/>
    </xf>
    <xf numFmtId="178" fontId="33" fillId="2" borderId="116" xfId="0" applyNumberFormat="1" applyFont="1" applyFill="1" applyBorder="1" applyAlignment="1">
      <alignment wrapText="1"/>
    </xf>
    <xf numFmtId="178" fontId="33" fillId="2" borderId="46" xfId="133" applyNumberFormat="1" applyFont="1" applyFill="1" applyBorder="1" applyAlignment="1">
      <alignment horizontal="center"/>
    </xf>
    <xf numFmtId="178" fontId="33" fillId="2" borderId="5" xfId="0" applyNumberFormat="1" applyFont="1" applyFill="1" applyBorder="1" applyAlignment="1">
      <alignment horizontal="center" vertical="center" wrapText="1"/>
    </xf>
    <xf numFmtId="178" fontId="33" fillId="2" borderId="5" xfId="0" applyNumberFormat="1" applyFont="1" applyFill="1" applyBorder="1" applyAlignment="1">
      <alignment horizontal="center" vertical="center"/>
    </xf>
    <xf numFmtId="178" fontId="33" fillId="2" borderId="5" xfId="0" applyNumberFormat="1" applyFont="1" applyFill="1" applyBorder="1" applyAlignment="1">
      <alignment wrapText="1"/>
    </xf>
    <xf numFmtId="178" fontId="33" fillId="2" borderId="18" xfId="0" applyNumberFormat="1" applyFont="1" applyFill="1" applyBorder="1" applyAlignment="1">
      <alignment wrapText="1"/>
    </xf>
    <xf numFmtId="178" fontId="33" fillId="2" borderId="19" xfId="0" applyNumberFormat="1" applyFont="1" applyFill="1" applyBorder="1" applyAlignment="1">
      <alignment wrapText="1"/>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114" xfId="133" applyNumberFormat="1" applyFont="1" applyFill="1" applyBorder="1" applyAlignment="1">
      <alignment horizontal="center" wrapText="1"/>
    </xf>
    <xf numFmtId="10" fontId="33" fillId="2" borderId="118"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7" xfId="0" applyNumberFormat="1" applyFont="1" applyFill="1" applyBorder="1" applyAlignment="1">
      <alignment wrapText="1"/>
    </xf>
    <xf numFmtId="10" fontId="33" fillId="2" borderId="116"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1" xfId="0" applyNumberFormat="1" applyFont="1" applyFill="1" applyBorder="1"/>
    <xf numFmtId="10" fontId="33" fillId="2" borderId="150" xfId="0" applyNumberFormat="1" applyFont="1" applyFill="1" applyBorder="1" applyAlignment="1">
      <alignment wrapText="1"/>
    </xf>
    <xf numFmtId="10" fontId="33" fillId="2" borderId="149" xfId="0" applyNumberFormat="1" applyFont="1" applyFill="1" applyBorder="1" applyAlignment="1">
      <alignment wrapText="1"/>
    </xf>
    <xf numFmtId="10" fontId="33" fillId="2" borderId="151" xfId="0" applyNumberFormat="1" applyFont="1" applyFill="1" applyBorder="1" applyAlignment="1">
      <alignment wrapText="1"/>
    </xf>
    <xf numFmtId="10" fontId="33" fillId="2" borderId="150" xfId="0" applyNumberFormat="1" applyFont="1" applyFill="1" applyBorder="1"/>
    <xf numFmtId="10" fontId="33" fillId="2" borderId="101" xfId="0" applyNumberFormat="1" applyFont="1" applyFill="1" applyBorder="1" applyAlignment="1">
      <alignment horizontal="center" vertical="center" wrapText="1"/>
    </xf>
    <xf numFmtId="10" fontId="33" fillId="2" borderId="101" xfId="0" applyNumberFormat="1" applyFont="1" applyFill="1" applyBorder="1" applyAlignment="1">
      <alignment horizontal="center" vertical="center"/>
    </xf>
    <xf numFmtId="10" fontId="33" fillId="2" borderId="114" xfId="133" applyNumberFormat="1" applyFont="1" applyFill="1" applyBorder="1" applyAlignment="1">
      <alignment horizontal="center"/>
    </xf>
    <xf numFmtId="10" fontId="33" fillId="2" borderId="118" xfId="133" applyNumberFormat="1" applyFont="1" applyFill="1" applyBorder="1" applyAlignment="1">
      <alignment horizont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9" fontId="33" fillId="25" borderId="102" xfId="133" applyFont="1" applyFill="1" applyBorder="1" applyAlignment="1">
      <alignment horizontal="center" vertical="center"/>
    </xf>
    <xf numFmtId="0" fontId="79" fillId="26" borderId="0" xfId="0" applyFont="1" applyFill="1"/>
    <xf numFmtId="175" fontId="33" fillId="2" borderId="0" xfId="131" applyNumberFormat="1" applyFont="1" applyFill="1" applyBorder="1"/>
    <xf numFmtId="0" fontId="80" fillId="26" borderId="0" xfId="0" applyFont="1" applyFill="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7"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161" xfId="0" applyFont="1" applyFill="1" applyBorder="1"/>
    <xf numFmtId="0" fontId="33" fillId="2" borderId="143" xfId="0" applyFont="1" applyFill="1" applyBorder="1"/>
    <xf numFmtId="0" fontId="37" fillId="2" borderId="164" xfId="0" applyFont="1" applyFill="1" applyBorder="1"/>
    <xf numFmtId="0" fontId="37" fillId="2" borderId="165" xfId="0" applyFont="1" applyFill="1" applyBorder="1"/>
    <xf numFmtId="0" fontId="33" fillId="2" borderId="165" xfId="0" applyFont="1" applyFill="1" applyBorder="1"/>
    <xf numFmtId="0" fontId="67" fillId="26" borderId="0" xfId="0" applyFont="1" applyFill="1" applyBorder="1"/>
    <xf numFmtId="0" fontId="33" fillId="2" borderId="162" xfId="0" applyFont="1" applyFill="1" applyBorder="1"/>
    <xf numFmtId="0" fontId="37" fillId="2" borderId="0" xfId="0" applyFont="1" applyFill="1" applyBorder="1" applyAlignment="1">
      <alignment horizontal="right"/>
    </xf>
    <xf numFmtId="0" fontId="81" fillId="2" borderId="0" xfId="0" applyFont="1" applyFill="1" applyBorder="1"/>
    <xf numFmtId="184" fontId="81" fillId="2" borderId="0" xfId="133" applyNumberFormat="1" applyFont="1" applyFill="1" applyBorder="1"/>
    <xf numFmtId="0" fontId="82" fillId="2" borderId="0" xfId="0" applyFont="1" applyFill="1" applyBorder="1" applyAlignment="1">
      <alignment horizontal="center" vertical="center" wrapText="1"/>
    </xf>
    <xf numFmtId="0" fontId="83" fillId="2" borderId="0" xfId="0" applyFont="1" applyFill="1" applyBorder="1"/>
    <xf numFmtId="175" fontId="82" fillId="2" borderId="0" xfId="131" applyNumberFormat="1" applyFont="1" applyFill="1" applyBorder="1"/>
    <xf numFmtId="175" fontId="84" fillId="2" borderId="0" xfId="131" applyNumberFormat="1" applyFont="1" applyFill="1" applyBorder="1"/>
    <xf numFmtId="0" fontId="0" fillId="26" borderId="0" xfId="0" applyFill="1" applyAlignment="1">
      <alignment horizontal="center"/>
    </xf>
    <xf numFmtId="175" fontId="33" fillId="32" borderId="42" xfId="131" applyNumberFormat="1" applyFont="1" applyFill="1" applyBorder="1" applyAlignment="1">
      <alignment horizontal="center" vertic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6"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6" xfId="0" applyFont="1" applyFill="1" applyBorder="1"/>
    <xf numFmtId="10" fontId="37" fillId="0" borderId="168" xfId="133" applyNumberFormat="1" applyFont="1" applyFill="1" applyBorder="1" applyAlignment="1">
      <alignment horizontal="center"/>
    </xf>
    <xf numFmtId="10" fontId="78" fillId="2" borderId="169" xfId="0" applyNumberFormat="1" applyFont="1" applyFill="1" applyBorder="1" applyAlignment="1">
      <alignment horizontal="center"/>
    </xf>
    <xf numFmtId="10" fontId="78" fillId="2" borderId="116" xfId="0" applyNumberFormat="1" applyFont="1" applyFill="1" applyBorder="1" applyAlignment="1">
      <alignment horizontal="center"/>
    </xf>
    <xf numFmtId="10" fontId="33" fillId="2" borderId="168" xfId="133" applyNumberFormat="1" applyFont="1" applyFill="1" applyBorder="1" applyAlignment="1">
      <alignment horizontal="center"/>
    </xf>
    <xf numFmtId="181" fontId="37" fillId="0" borderId="168" xfId="134" applyNumberFormat="1" applyFont="1" applyFill="1" applyBorder="1" applyAlignment="1">
      <alignment horizontal="center"/>
    </xf>
    <xf numFmtId="181" fontId="33" fillId="0" borderId="168" xfId="134" applyNumberFormat="1" applyFont="1" applyFill="1" applyBorder="1" applyAlignment="1">
      <alignment horizontal="center"/>
    </xf>
    <xf numFmtId="181" fontId="33" fillId="0" borderId="169" xfId="134" applyNumberFormat="1" applyFont="1" applyFill="1" applyBorder="1" applyAlignment="1">
      <alignment horizontal="center"/>
    </xf>
    <xf numFmtId="0" fontId="33" fillId="2" borderId="168"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2" xfId="0" applyFont="1" applyFill="1" applyBorder="1"/>
    <xf numFmtId="0" fontId="33" fillId="2" borderId="173" xfId="0" applyFont="1" applyFill="1" applyBorder="1"/>
    <xf numFmtId="0" fontId="33" fillId="2" borderId="171" xfId="0" applyFont="1" applyFill="1" applyBorder="1"/>
    <xf numFmtId="0" fontId="37" fillId="2" borderId="172"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71"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18"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0" fontId="33" fillId="25" borderId="42"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top" wrapText="1"/>
    </xf>
    <xf numFmtId="0" fontId="37" fillId="0" borderId="0" xfId="233" applyFont="1" applyFill="1" applyBorder="1" applyAlignment="1"/>
    <xf numFmtId="175" fontId="85" fillId="26" borderId="5" xfId="0" applyNumberFormat="1" applyFont="1" applyFill="1" applyBorder="1"/>
    <xf numFmtId="0" fontId="80" fillId="26" borderId="0" xfId="0" applyFont="1" applyFill="1" applyBorder="1"/>
    <xf numFmtId="0" fontId="0" fillId="2" borderId="175" xfId="0" applyFont="1" applyFill="1" applyBorder="1"/>
    <xf numFmtId="0" fontId="0" fillId="2" borderId="175" xfId="0" applyFill="1" applyBorder="1"/>
    <xf numFmtId="0" fontId="0" fillId="0" borderId="175" xfId="0" applyBorder="1"/>
    <xf numFmtId="0" fontId="9" fillId="2" borderId="0" xfId="0" applyFont="1" applyFill="1"/>
    <xf numFmtId="0" fontId="0" fillId="2" borderId="172" xfId="0" applyFill="1" applyBorder="1"/>
    <xf numFmtId="0" fontId="0" fillId="2" borderId="15" xfId="0" applyFill="1" applyBorder="1"/>
    <xf numFmtId="0" fontId="0" fillId="2" borderId="171" xfId="0" applyFill="1" applyBorder="1"/>
    <xf numFmtId="0" fontId="37" fillId="0" borderId="17" xfId="233" applyFont="1" applyFill="1" applyBorder="1" applyAlignment="1"/>
    <xf numFmtId="0" fontId="33" fillId="0" borderId="176"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6" fillId="2" borderId="0" xfId="0" applyFont="1" applyFill="1"/>
    <xf numFmtId="0" fontId="0" fillId="26" borderId="172" xfId="0" applyFill="1" applyBorder="1"/>
    <xf numFmtId="0" fontId="0" fillId="26" borderId="15" xfId="0" applyFill="1" applyBorder="1"/>
    <xf numFmtId="0" fontId="0" fillId="26" borderId="171" xfId="0" applyFill="1" applyBorder="1"/>
    <xf numFmtId="0" fontId="0" fillId="26" borderId="17" xfId="0" applyFill="1" applyBorder="1"/>
    <xf numFmtId="0" fontId="0" fillId="26" borderId="116" xfId="0" applyFill="1" applyBorder="1"/>
    <xf numFmtId="0" fontId="0" fillId="26" borderId="18" xfId="0" applyFill="1" applyBorder="1"/>
    <xf numFmtId="0" fontId="0" fillId="26" borderId="5" xfId="0" applyFill="1" applyBorder="1"/>
    <xf numFmtId="0" fontId="0" fillId="26" borderId="19" xfId="0" applyFill="1" applyBorder="1"/>
    <xf numFmtId="0" fontId="33" fillId="2" borderId="116" xfId="0" applyFont="1" applyFill="1" applyBorder="1" applyAlignment="1">
      <alignment horizontal="center"/>
    </xf>
    <xf numFmtId="0" fontId="0" fillId="42" borderId="175" xfId="0" applyFill="1" applyBorder="1"/>
    <xf numFmtId="181" fontId="33" fillId="2" borderId="42" xfId="134" applyNumberFormat="1" applyFont="1" applyFill="1" applyBorder="1" applyAlignment="1">
      <alignment horizontal="center"/>
    </xf>
    <xf numFmtId="0" fontId="0" fillId="26" borderId="0" xfId="0" applyFont="1" applyFill="1"/>
    <xf numFmtId="0" fontId="0" fillId="2" borderId="172" xfId="0" applyFont="1" applyFill="1" applyBorder="1"/>
    <xf numFmtId="0" fontId="0" fillId="2" borderId="15" xfId="0" applyFont="1" applyFill="1" applyBorder="1"/>
    <xf numFmtId="0" fontId="0" fillId="2" borderId="171" xfId="0" applyFont="1" applyFill="1" applyBorder="1"/>
    <xf numFmtId="0" fontId="0" fillId="2" borderId="0" xfId="0" applyFont="1" applyFill="1" applyBorder="1"/>
    <xf numFmtId="0" fontId="0" fillId="2" borderId="116" xfId="0" applyFont="1" applyFill="1" applyBorder="1"/>
    <xf numFmtId="0" fontId="33" fillId="2" borderId="17" xfId="0" applyFont="1" applyFill="1" applyBorder="1" applyAlignment="1">
      <alignment horizontal="right" vertical="top" wrapText="1"/>
    </xf>
    <xf numFmtId="10" fontId="33" fillId="2" borderId="42" xfId="133" applyNumberFormat="1" applyFont="1" applyFill="1" applyBorder="1" applyAlignment="1">
      <alignment horizontal="center" vertical="center"/>
    </xf>
    <xf numFmtId="0" fontId="33" fillId="2" borderId="0" xfId="0" applyFont="1" applyFill="1" applyBorder="1" applyAlignment="1">
      <alignment horizontal="right" vertical="top" wrapText="1"/>
    </xf>
    <xf numFmtId="184" fontId="33" fillId="2" borderId="0" xfId="133" applyNumberFormat="1" applyFont="1" applyFill="1" applyBorder="1"/>
    <xf numFmtId="184" fontId="33" fillId="2" borderId="116" xfId="133" applyNumberFormat="1" applyFont="1" applyFill="1" applyBorder="1"/>
    <xf numFmtId="0" fontId="0" fillId="2" borderId="17" xfId="0" applyFont="1" applyFill="1" applyBorder="1"/>
    <xf numFmtId="175" fontId="0" fillId="2" borderId="0" xfId="0" applyNumberFormat="1" applyFont="1" applyFill="1" applyBorder="1"/>
    <xf numFmtId="183" fontId="37" fillId="0" borderId="0" xfId="133" applyNumberFormat="1" applyFont="1" applyFill="1" applyBorder="1" applyAlignment="1">
      <alignment horizontal="center"/>
    </xf>
    <xf numFmtId="183" fontId="37" fillId="0" borderId="116" xfId="133" applyNumberFormat="1" applyFont="1" applyFill="1" applyBorder="1" applyAlignment="1">
      <alignment horizontal="center"/>
    </xf>
    <xf numFmtId="182" fontId="33" fillId="2" borderId="0" xfId="133" applyNumberFormat="1" applyFont="1" applyFill="1" applyBorder="1" applyAlignment="1">
      <alignment horizontal="center"/>
    </xf>
    <xf numFmtId="182" fontId="33" fillId="2" borderId="116" xfId="133" applyNumberFormat="1" applyFont="1" applyFill="1" applyBorder="1" applyAlignment="1">
      <alignment horizontal="center"/>
    </xf>
    <xf numFmtId="181" fontId="37" fillId="2" borderId="0" xfId="134" applyNumberFormat="1" applyFont="1" applyFill="1" applyBorder="1" applyAlignment="1">
      <alignment horizontal="center"/>
    </xf>
    <xf numFmtId="181" fontId="37" fillId="2" borderId="116" xfId="134" applyNumberFormat="1" applyFont="1" applyFill="1" applyBorder="1" applyAlignment="1">
      <alignment horizontal="center"/>
    </xf>
    <xf numFmtId="181" fontId="33" fillId="2" borderId="0" xfId="134" applyNumberFormat="1" applyFont="1" applyFill="1" applyBorder="1" applyAlignment="1">
      <alignment horizontal="center"/>
    </xf>
    <xf numFmtId="181" fontId="33" fillId="2" borderId="116" xfId="134" applyNumberFormat="1" applyFont="1" applyFill="1" applyBorder="1" applyAlignment="1">
      <alignment horizontal="center"/>
    </xf>
    <xf numFmtId="0" fontId="33" fillId="2" borderId="17" xfId="0" applyFont="1" applyFill="1" applyBorder="1" applyAlignment="1">
      <alignment horizontal="right" wrapText="1"/>
    </xf>
    <xf numFmtId="0" fontId="0" fillId="2" borderId="174" xfId="0" applyFont="1" applyFill="1" applyBorder="1"/>
    <xf numFmtId="43" fontId="33" fillId="2" borderId="116" xfId="131" applyNumberFormat="1" applyFont="1" applyFill="1" applyBorder="1" applyAlignment="1"/>
    <xf numFmtId="181" fontId="33"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5" fontId="33" fillId="0" borderId="42" xfId="131" applyNumberFormat="1" applyFont="1" applyFill="1" applyBorder="1" applyAlignment="1">
      <alignment horizontal="center"/>
    </xf>
    <xf numFmtId="185"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90" fillId="2" borderId="0" xfId="131" applyNumberFormat="1" applyFont="1" applyFill="1" applyBorder="1" applyAlignment="1"/>
    <xf numFmtId="0" fontId="92" fillId="2" borderId="42" xfId="0" applyFont="1" applyFill="1" applyBorder="1" applyAlignment="1">
      <alignment horizontal="center"/>
    </xf>
    <xf numFmtId="0" fontId="93" fillId="2" borderId="0" xfId="0" applyFont="1" applyFill="1" applyBorder="1"/>
    <xf numFmtId="0" fontId="91" fillId="2" borderId="17" xfId="0" applyFont="1" applyFill="1" applyBorder="1" applyAlignment="1">
      <alignment horizontal="left" indent="1"/>
    </xf>
    <xf numFmtId="0" fontId="93" fillId="2" borderId="0" xfId="0" applyFont="1" applyFill="1" applyBorder="1" applyAlignment="1">
      <alignment horizontal="left" indent="1"/>
    </xf>
    <xf numFmtId="0" fontId="93" fillId="2" borderId="17" xfId="0" applyFont="1" applyFill="1" applyBorder="1" applyAlignment="1">
      <alignment horizontal="left" indent="1"/>
    </xf>
    <xf numFmtId="0" fontId="94" fillId="2" borderId="17" xfId="0" applyFont="1" applyFill="1" applyBorder="1" applyAlignment="1">
      <alignment horizontal="left" indent="1"/>
    </xf>
    <xf numFmtId="0" fontId="93" fillId="2" borderId="17" xfId="0" applyFont="1" applyFill="1" applyBorder="1"/>
    <xf numFmtId="0" fontId="91" fillId="2" borderId="0" xfId="0" applyFont="1" applyFill="1" applyBorder="1"/>
    <xf numFmtId="0" fontId="95" fillId="2" borderId="0" xfId="0" applyFont="1" applyFill="1" applyBorder="1" applyAlignment="1">
      <alignment horizontal="left" indent="3"/>
    </xf>
    <xf numFmtId="0" fontId="91" fillId="2" borderId="0" xfId="0" applyFont="1" applyFill="1" applyBorder="1" applyAlignment="1">
      <alignment horizontal="left" indent="1"/>
    </xf>
    <xf numFmtId="0" fontId="94"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8"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4" xfId="0" applyFont="1" applyFill="1" applyBorder="1"/>
    <xf numFmtId="10" fontId="92" fillId="28" borderId="42" xfId="0" applyNumberFormat="1" applyFont="1" applyFill="1" applyBorder="1" applyAlignment="1">
      <alignment horizontal="center"/>
    </xf>
    <xf numFmtId="181" fontId="92" fillId="28" borderId="42" xfId="0" applyNumberFormat="1" applyFont="1" applyFill="1" applyBorder="1" applyAlignment="1">
      <alignment horizontal="center"/>
    </xf>
    <xf numFmtId="178" fontId="92" fillId="28" borderId="42" xfId="133" applyNumberFormat="1" applyFont="1" applyFill="1" applyBorder="1" applyAlignment="1">
      <alignment horizontal="center"/>
    </xf>
    <xf numFmtId="178" fontId="3" fillId="2" borderId="0" xfId="133" applyNumberFormat="1" applyFont="1" applyFill="1" applyBorder="1"/>
    <xf numFmtId="2" fontId="3" fillId="2" borderId="0" xfId="0" applyNumberFormat="1" applyFont="1" applyFill="1" applyBorder="1"/>
    <xf numFmtId="9" fontId="92" fillId="28" borderId="42" xfId="133" applyNumberFormat="1" applyFont="1" applyFill="1" applyBorder="1" applyAlignment="1">
      <alignment horizontal="center"/>
    </xf>
    <xf numFmtId="9" fontId="3" fillId="2" borderId="0" xfId="133" applyNumberFormat="1" applyFont="1" applyFill="1" applyBorder="1"/>
    <xf numFmtId="2" fontId="92" fillId="28" borderId="42" xfId="0" applyNumberFormat="1" applyFont="1" applyFill="1" applyBorder="1" applyAlignment="1">
      <alignment horizontal="center"/>
    </xf>
    <xf numFmtId="175" fontId="92" fillId="28" borderId="42" xfId="131" applyNumberFormat="1" applyFont="1" applyFill="1" applyBorder="1" applyAlignment="1">
      <alignment horizontal="right"/>
    </xf>
    <xf numFmtId="0" fontId="91" fillId="2" borderId="17" xfId="0" applyFont="1" applyFill="1" applyBorder="1" applyAlignment="1">
      <alignment vertical="top" wrapText="1"/>
    </xf>
    <xf numFmtId="0" fontId="91" fillId="2" borderId="0" xfId="0" applyFont="1" applyFill="1" applyBorder="1" applyAlignment="1">
      <alignment vertical="top" wrapText="1"/>
    </xf>
    <xf numFmtId="175" fontId="89"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59"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7" xfId="0" applyFont="1" applyFill="1" applyBorder="1" applyAlignment="1">
      <alignment horizontal="right" vertical="center"/>
    </xf>
    <xf numFmtId="0" fontId="37" fillId="2" borderId="143" xfId="0" applyFont="1" applyFill="1" applyBorder="1" applyAlignment="1">
      <alignment horizontal="right" wrapText="1"/>
    </xf>
    <xf numFmtId="0" fontId="33" fillId="0" borderId="159" xfId="233" applyFont="1" applyFill="1" applyBorder="1" applyAlignment="1">
      <alignment horizontal="right"/>
    </xf>
    <xf numFmtId="0" fontId="37" fillId="2" borderId="160" xfId="0" applyFont="1" applyFill="1" applyBorder="1" applyAlignment="1">
      <alignment horizontal="right" vertical="center" wrapText="1"/>
    </xf>
    <xf numFmtId="0" fontId="33" fillId="32" borderId="177" xfId="0" applyFont="1" applyFill="1" applyBorder="1" applyAlignment="1">
      <alignment horizontal="left" vertical="center" wrapText="1"/>
    </xf>
    <xf numFmtId="0" fontId="33" fillId="32" borderId="177" xfId="0" applyFont="1" applyFill="1" applyBorder="1" applyAlignment="1">
      <alignment horizontal="left" vertical="top" wrapText="1"/>
    </xf>
    <xf numFmtId="176" fontId="33" fillId="2" borderId="0" xfId="0" applyNumberFormat="1" applyFont="1" applyFill="1" applyBorder="1" applyAlignment="1">
      <alignment horizontal="center" vertical="center"/>
    </xf>
    <xf numFmtId="0" fontId="0" fillId="0" borderId="0" xfId="0" applyFont="1" applyFill="1" applyBorder="1"/>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33" fillId="2" borderId="42" xfId="131" applyNumberFormat="1" applyFont="1" applyFill="1" applyBorder="1" applyAlignment="1">
      <alignment horizontal="center"/>
    </xf>
    <xf numFmtId="176" fontId="33" fillId="25" borderId="43" xfId="131" applyNumberFormat="1" applyFont="1" applyFill="1" applyBorder="1" applyAlignment="1">
      <alignment horizontal="center" vertical="center"/>
    </xf>
    <xf numFmtId="175" fontId="33" fillId="25" borderId="43" xfId="131" applyNumberFormat="1" applyFont="1" applyFill="1" applyBorder="1" applyAlignment="1">
      <alignment horizontal="center" vertical="center" wrapText="1"/>
    </xf>
    <xf numFmtId="0" fontId="33" fillId="25" borderId="111" xfId="0" applyFont="1" applyFill="1" applyBorder="1" applyAlignment="1">
      <alignment horizontal="center" vertical="center" wrapText="1"/>
    </xf>
    <xf numFmtId="174" fontId="33" fillId="25" borderId="46" xfId="0" applyNumberFormat="1" applyFont="1" applyFill="1" applyBorder="1" applyAlignment="1">
      <alignment horizontal="center" vertical="center" wrapText="1"/>
    </xf>
    <xf numFmtId="0" fontId="33" fillId="25" borderId="46" xfId="131" applyNumberFormat="1" applyFont="1" applyFill="1" applyBorder="1" applyAlignment="1">
      <alignment horizontal="center" vertical="center" wrapText="1"/>
    </xf>
    <xf numFmtId="175" fontId="33" fillId="25" borderId="47" xfId="131" applyNumberFormat="1" applyFont="1" applyFill="1" applyBorder="1" applyAlignment="1">
      <alignment horizontal="center" vertical="center" wrapText="1"/>
    </xf>
    <xf numFmtId="0" fontId="9" fillId="2" borderId="0" xfId="0" applyFont="1" applyFill="1" applyAlignment="1">
      <alignment horizontal="left" indent="2"/>
    </xf>
    <xf numFmtId="9" fontId="33" fillId="32" borderId="42" xfId="133" applyFont="1" applyFill="1" applyBorder="1"/>
    <xf numFmtId="9" fontId="33" fillId="32" borderId="43" xfId="133" applyFont="1" applyFill="1" applyBorder="1" applyAlignment="1">
      <alignment wrapText="1"/>
    </xf>
    <xf numFmtId="9" fontId="33" fillId="32" borderId="118" xfId="133" applyFont="1" applyFill="1" applyBorder="1" applyAlignment="1">
      <alignment wrapText="1"/>
    </xf>
    <xf numFmtId="43" fontId="52" fillId="26" borderId="0" xfId="131" applyFont="1" applyFill="1"/>
    <xf numFmtId="185" fontId="33" fillId="0" borderId="42" xfId="134" applyNumberFormat="1" applyFont="1" applyFill="1" applyBorder="1" applyAlignment="1">
      <alignment horizontal="center"/>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3" fillId="37" borderId="135" xfId="0" applyFont="1" applyFill="1" applyBorder="1" applyAlignment="1">
      <alignment horizontal="left"/>
    </xf>
    <xf numFmtId="0" fontId="33" fillId="40" borderId="133" xfId="0" applyFont="1" applyFill="1" applyBorder="1" applyAlignment="1">
      <alignment horizontal="left"/>
    </xf>
    <xf numFmtId="0" fontId="33" fillId="40" borderId="134" xfId="0" applyFont="1" applyFill="1" applyBorder="1" applyAlignment="1">
      <alignment horizontal="left"/>
    </xf>
    <xf numFmtId="0" fontId="33" fillId="40" borderId="135" xfId="0" applyFont="1" applyFill="1" applyBorder="1" applyAlignment="1">
      <alignment horizontal="left"/>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28" borderId="135" xfId="0" applyFont="1" applyFill="1" applyBorder="1" applyAlignment="1">
      <alignment horizontal="left"/>
    </xf>
    <xf numFmtId="0" fontId="33" fillId="39" borderId="133" xfId="0" applyFont="1" applyFill="1" applyBorder="1" applyAlignment="1">
      <alignment horizontal="left"/>
    </xf>
    <xf numFmtId="0" fontId="33" fillId="39" borderId="134" xfId="0" applyFont="1" applyFill="1" applyBorder="1" applyAlignment="1">
      <alignment horizontal="left"/>
    </xf>
    <xf numFmtId="0" fontId="33" fillId="39" borderId="135" xfId="0" applyFont="1" applyFill="1" applyBorder="1" applyAlignment="1">
      <alignment horizontal="left"/>
    </xf>
    <xf numFmtId="0" fontId="33" fillId="38" borderId="133" xfId="0" applyFont="1" applyFill="1" applyBorder="1" applyAlignment="1">
      <alignment horizontal="left"/>
    </xf>
    <xf numFmtId="0" fontId="33" fillId="38" borderId="134" xfId="0" applyFont="1" applyFill="1" applyBorder="1" applyAlignment="1">
      <alignment horizontal="left"/>
    </xf>
    <xf numFmtId="0" fontId="33" fillId="38" borderId="135" xfId="0" applyFont="1" applyFill="1" applyBorder="1" applyAlignment="1">
      <alignment horizontal="left"/>
    </xf>
    <xf numFmtId="0" fontId="32" fillId="2" borderId="0" xfId="3" applyFont="1" applyFill="1" applyAlignment="1">
      <alignment horizontal="left" vertical="center"/>
    </xf>
    <xf numFmtId="178" fontId="33" fillId="2" borderId="0" xfId="133" applyNumberFormat="1" applyFont="1" applyFill="1" applyBorder="1"/>
    <xf numFmtId="0" fontId="54" fillId="32" borderId="145" xfId="263" applyFill="1" applyBorder="1" applyAlignment="1"/>
    <xf numFmtId="0" fontId="33" fillId="25" borderId="179" xfId="0" applyFont="1" applyFill="1" applyBorder="1" applyAlignment="1">
      <alignment horizontal="left" vertical="top" wrapText="1"/>
    </xf>
    <xf numFmtId="174" fontId="33" fillId="25" borderId="178" xfId="0" applyNumberFormat="1" applyFont="1" applyFill="1" applyBorder="1" applyAlignment="1">
      <alignment horizontal="center" vertical="top" wrapText="1"/>
    </xf>
    <xf numFmtId="176" fontId="33" fillId="25" borderId="110" xfId="131" applyNumberFormat="1" applyFont="1" applyFill="1" applyBorder="1" applyAlignment="1">
      <alignment horizontal="center" vertical="top"/>
    </xf>
    <xf numFmtId="0" fontId="33" fillId="25" borderId="44" xfId="0" applyFont="1" applyFill="1" applyBorder="1" applyAlignment="1">
      <alignment horizontal="left" vertical="top" wrapText="1"/>
    </xf>
    <xf numFmtId="174" fontId="33" fillId="25" borderId="80" xfId="0" applyNumberFormat="1" applyFont="1" applyFill="1" applyBorder="1" applyAlignment="1">
      <alignment horizontal="center" vertical="top" wrapText="1"/>
    </xf>
    <xf numFmtId="176" fontId="33" fillId="25" borderId="43" xfId="131" applyNumberFormat="1" applyFont="1" applyFill="1" applyBorder="1" applyAlignment="1">
      <alignment horizontal="center" vertical="top" wrapText="1"/>
    </xf>
    <xf numFmtId="176" fontId="33" fillId="25" borderId="43" xfId="131" applyNumberFormat="1" applyFont="1" applyFill="1" applyBorder="1" applyAlignment="1">
      <alignment horizontal="center" vertical="top"/>
    </xf>
    <xf numFmtId="0" fontId="33" fillId="25" borderId="44" xfId="0" applyFont="1" applyFill="1" applyBorder="1" applyAlignment="1">
      <alignment vertical="top" wrapText="1"/>
    </xf>
    <xf numFmtId="0" fontId="33" fillId="25" borderId="178" xfId="131" applyNumberFormat="1" applyFont="1" applyFill="1" applyBorder="1" applyAlignment="1">
      <alignment horizontal="left" vertical="top" wrapText="1"/>
    </xf>
    <xf numFmtId="167" fontId="37" fillId="2" borderId="12" xfId="8" applyNumberFormat="1" applyFont="1" applyFill="1" applyBorder="1" applyAlignment="1">
      <alignment horizontal="center" vertical="center"/>
    </xf>
    <xf numFmtId="174" fontId="33" fillId="25" borderId="180" xfId="0" applyNumberFormat="1" applyFont="1" applyFill="1" applyBorder="1" applyAlignment="1">
      <alignment horizontal="center" vertical="center" wrapText="1"/>
    </xf>
    <xf numFmtId="0" fontId="33" fillId="25" borderId="177" xfId="0" applyFont="1" applyFill="1" applyBorder="1" applyAlignment="1">
      <alignment vertical="top" wrapText="1"/>
    </xf>
    <xf numFmtId="0" fontId="33" fillId="25" borderId="75" xfId="0" applyFont="1" applyFill="1" applyBorder="1" applyAlignment="1">
      <alignment horizontal="left"/>
    </xf>
    <xf numFmtId="0" fontId="33" fillId="25" borderId="92" xfId="0" applyFont="1" applyFill="1" applyBorder="1" applyAlignment="1">
      <alignment horizontal="left"/>
    </xf>
    <xf numFmtId="0" fontId="33" fillId="25" borderId="56" xfId="0" applyFont="1" applyFill="1" applyBorder="1" applyAlignment="1">
      <alignment horizontal="left"/>
    </xf>
    <xf numFmtId="0" fontId="33" fillId="25" borderId="58" xfId="0" applyFont="1" applyFill="1" applyBorder="1" applyAlignment="1">
      <alignment horizontal="left"/>
    </xf>
    <xf numFmtId="175" fontId="67" fillId="26" borderId="0" xfId="0" applyNumberFormat="1" applyFont="1" applyFill="1"/>
    <xf numFmtId="178" fontId="33" fillId="32" borderId="42" xfId="133" applyNumberFormat="1" applyFont="1" applyFill="1" applyBorder="1"/>
    <xf numFmtId="178" fontId="33" fillId="32" borderId="43" xfId="133" applyNumberFormat="1" applyFont="1" applyFill="1" applyBorder="1" applyAlignment="1">
      <alignment wrapText="1"/>
    </xf>
    <xf numFmtId="178" fontId="33" fillId="32" borderId="42" xfId="133" applyNumberFormat="1" applyFont="1" applyFill="1" applyBorder="1" applyAlignment="1">
      <alignment wrapText="1"/>
    </xf>
    <xf numFmtId="0" fontId="33" fillId="25" borderId="133" xfId="261" applyFont="1" applyFill="1" applyBorder="1" applyAlignment="1" applyProtection="1">
      <alignment horizontal="center" vertical="center"/>
    </xf>
    <xf numFmtId="0" fontId="33" fillId="25" borderId="135"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2"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1"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6"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33" xfId="0" applyFont="1" applyFill="1" applyBorder="1" applyAlignment="1" applyProtection="1">
      <alignment horizontal="center" vertical="center"/>
    </xf>
    <xf numFmtId="0" fontId="33" fillId="2" borderId="135" xfId="0" applyFont="1" applyFill="1" applyBorder="1" applyAlignment="1" applyProtection="1">
      <alignment horizontal="center" vertical="center"/>
    </xf>
    <xf numFmtId="0" fontId="39" fillId="27" borderId="133" xfId="0" applyFont="1" applyFill="1" applyBorder="1" applyAlignment="1" applyProtection="1">
      <alignment horizontal="center" vertical="center"/>
    </xf>
    <xf numFmtId="0" fontId="39" fillId="27" borderId="135" xfId="0" applyFont="1" applyFill="1" applyBorder="1" applyAlignment="1" applyProtection="1">
      <alignment horizontal="center" vertical="center"/>
    </xf>
    <xf numFmtId="0" fontId="47" fillId="29" borderId="133" xfId="132" applyFont="1" applyBorder="1" applyAlignment="1" applyProtection="1">
      <alignment horizontal="center" vertical="center"/>
    </xf>
    <xf numFmtId="0" fontId="47" fillId="29" borderId="135" xfId="132" applyFont="1" applyBorder="1" applyAlignment="1" applyProtection="1">
      <alignment horizontal="center" vertical="center"/>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6"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72" xfId="0" applyFont="1" applyFill="1" applyBorder="1" applyAlignment="1">
      <alignment horizontal="left" vertical="top" wrapText="1"/>
    </xf>
    <xf numFmtId="0" fontId="33" fillId="43" borderId="133" xfId="0" applyFont="1" applyFill="1" applyBorder="1" applyAlignment="1">
      <alignment horizontal="center" vertical="center"/>
    </xf>
    <xf numFmtId="0" fontId="33" fillId="43" borderId="135" xfId="0" applyFont="1" applyFill="1" applyBorder="1" applyAlignment="1">
      <alignment horizontal="center" vertical="center"/>
    </xf>
    <xf numFmtId="0" fontId="33" fillId="26" borderId="133" xfId="0" applyFont="1" applyFill="1" applyBorder="1" applyAlignment="1">
      <alignment horizontal="center"/>
    </xf>
    <xf numFmtId="0" fontId="33" fillId="26" borderId="135" xfId="0" applyFont="1" applyFill="1" applyBorder="1" applyAlignment="1">
      <alignment horizontal="center"/>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6"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71" xfId="0" applyFont="1" applyFill="1" applyBorder="1" applyAlignment="1">
      <alignment horizontal="left" vertical="top"/>
    </xf>
    <xf numFmtId="0" fontId="51" fillId="32" borderId="133" xfId="4" applyFont="1" applyFill="1" applyBorder="1" applyAlignment="1">
      <alignment horizontal="center" vertical="center"/>
    </xf>
    <xf numFmtId="0" fontId="51" fillId="32" borderId="134" xfId="4" applyFont="1" applyFill="1" applyBorder="1" applyAlignment="1">
      <alignment horizontal="center" vertical="center"/>
    </xf>
    <xf numFmtId="0" fontId="51" fillId="32" borderId="135" xfId="4" applyFont="1" applyFill="1" applyBorder="1" applyAlignment="1">
      <alignment horizontal="center" vertical="center"/>
    </xf>
    <xf numFmtId="0" fontId="33" fillId="28" borderId="0" xfId="0" applyFont="1" applyFill="1" applyAlignment="1">
      <alignment horizontal="left" vertical="top" wrapText="1"/>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28" borderId="135" xfId="0" applyFont="1" applyFill="1" applyBorder="1" applyAlignment="1">
      <alignment horizontal="left"/>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3" fillId="37" borderId="135" xfId="0" applyFont="1" applyFill="1" applyBorder="1" applyAlignment="1">
      <alignment horizontal="left"/>
    </xf>
    <xf numFmtId="0" fontId="37" fillId="2" borderId="172" xfId="0" quotePrefix="1" applyFont="1" applyFill="1" applyBorder="1" applyAlignment="1">
      <alignment horizontal="left" vertical="top" wrapText="1"/>
    </xf>
    <xf numFmtId="0" fontId="35" fillId="2" borderId="0" xfId="5" applyFont="1" applyFill="1">
      <alignment horizontal="left" vertical="center"/>
      <protection locked="0"/>
    </xf>
    <xf numFmtId="0" fontId="33" fillId="30" borderId="125" xfId="0" applyFont="1" applyFill="1" applyBorder="1" applyAlignment="1">
      <alignment horizontal="center" vertical="center" wrapText="1"/>
    </xf>
    <xf numFmtId="0" fontId="33" fillId="30" borderId="126" xfId="0" applyFont="1" applyFill="1" applyBorder="1" applyAlignment="1">
      <alignment horizontal="center" vertical="center" wrapText="1"/>
    </xf>
    <xf numFmtId="0" fontId="33" fillId="30" borderId="127"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4"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7" xfId="0" applyNumberFormat="1" applyFont="1" applyFill="1" applyBorder="1" applyAlignment="1">
      <alignment horizontal="center" vertical="center" wrapText="1"/>
    </xf>
    <xf numFmtId="174" fontId="33" fillId="2" borderId="145" xfId="0" applyNumberFormat="1" applyFont="1" applyFill="1" applyBorder="1" applyAlignment="1">
      <alignment horizontal="center" vertical="center" wrapText="1"/>
    </xf>
    <xf numFmtId="174" fontId="37" fillId="2" borderId="117" xfId="0" applyNumberFormat="1" applyFont="1" applyFill="1" applyBorder="1" applyAlignment="1">
      <alignment horizontal="center" vertical="center" wrapText="1"/>
    </xf>
    <xf numFmtId="175" fontId="33" fillId="25" borderId="63"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93" xfId="131" applyNumberFormat="1" applyFont="1" applyFill="1" applyBorder="1" applyAlignment="1">
      <alignment horizontal="center" vertical="center"/>
    </xf>
    <xf numFmtId="0" fontId="33" fillId="25" borderId="79" xfId="0" applyFont="1" applyFill="1" applyBorder="1" applyAlignment="1">
      <alignment horizontal="left" vertical="center" wrapText="1"/>
    </xf>
    <xf numFmtId="0" fontId="33" fillId="25" borderId="77" xfId="0" applyFont="1" applyFill="1" applyBorder="1" applyAlignment="1">
      <alignment horizontal="left" vertical="center" wrapText="1"/>
    </xf>
    <xf numFmtId="0" fontId="33" fillId="25" borderId="78" xfId="0" applyFont="1" applyFill="1" applyBorder="1" applyAlignment="1">
      <alignment horizontal="left" vertical="center" wrapText="1"/>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76" xfId="131" applyNumberFormat="1" applyFont="1" applyFill="1" applyBorder="1" applyAlignment="1">
      <alignment horizontal="center" vertical="center"/>
    </xf>
    <xf numFmtId="175" fontId="33" fillId="2" borderId="63"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6" xfId="131" applyNumberFormat="1" applyFont="1" applyFill="1" applyBorder="1" applyAlignment="1">
      <alignment horizontal="center" vertical="center"/>
    </xf>
    <xf numFmtId="0" fontId="33" fillId="25" borderId="181" xfId="0" applyFont="1" applyFill="1" applyBorder="1" applyAlignment="1">
      <alignment horizontal="left" vertical="center" wrapText="1"/>
    </xf>
    <xf numFmtId="0" fontId="33" fillId="25" borderId="89" xfId="0" applyFont="1" applyFill="1" applyBorder="1" applyAlignment="1">
      <alignment horizontal="left" vertical="center" wrapText="1"/>
    </xf>
    <xf numFmtId="0" fontId="33" fillId="25" borderId="182" xfId="0" applyFont="1" applyFill="1" applyBorder="1" applyAlignment="1">
      <alignment horizontal="left" vertical="center" wrapText="1"/>
    </xf>
    <xf numFmtId="0" fontId="33" fillId="25" borderId="15" xfId="0" applyFont="1" applyFill="1" applyBorder="1" applyAlignment="1">
      <alignment horizontal="left" vertical="center" wrapText="1"/>
    </xf>
    <xf numFmtId="0" fontId="33" fillId="25" borderId="52" xfId="0" applyFont="1" applyFill="1" applyBorder="1" applyAlignment="1">
      <alignment horizontal="left" vertical="center" wrapText="1"/>
    </xf>
    <xf numFmtId="0" fontId="33" fillId="25" borderId="53" xfId="0" applyFont="1" applyFill="1" applyBorder="1" applyAlignment="1">
      <alignment horizontal="left" vertical="center" wrapText="1"/>
    </xf>
    <xf numFmtId="0" fontId="33" fillId="25" borderId="0" xfId="0" applyFont="1" applyFill="1" applyBorder="1" applyAlignment="1">
      <alignment horizontal="left" vertical="center" wrapText="1"/>
    </xf>
    <xf numFmtId="0" fontId="33" fillId="25" borderId="54" xfId="0" applyFont="1" applyFill="1" applyBorder="1" applyAlignment="1">
      <alignment horizontal="left" vertical="center" wrapText="1"/>
    </xf>
    <xf numFmtId="0" fontId="33" fillId="25" borderId="90" xfId="0" applyFont="1" applyFill="1" applyBorder="1" applyAlignment="1">
      <alignment horizontal="left" vertical="center" wrapText="1"/>
    </xf>
    <xf numFmtId="0" fontId="33" fillId="25" borderId="5" xfId="0" applyFont="1" applyFill="1" applyBorder="1" applyAlignment="1">
      <alignment horizontal="left" vertical="center" wrapText="1"/>
    </xf>
    <xf numFmtId="0" fontId="33" fillId="25" borderId="91" xfId="0" applyFont="1" applyFill="1" applyBorder="1" applyAlignment="1">
      <alignment horizontal="left" vertical="center" wrapText="1"/>
    </xf>
    <xf numFmtId="9" fontId="33" fillId="25" borderId="63" xfId="133" applyFont="1" applyFill="1" applyBorder="1" applyAlignment="1">
      <alignment horizontal="center" vertical="center"/>
    </xf>
    <xf numFmtId="9" fontId="33" fillId="25" borderId="49" xfId="133" applyFont="1" applyFill="1" applyBorder="1" applyAlignment="1">
      <alignment horizontal="center" vertical="center"/>
    </xf>
    <xf numFmtId="9" fontId="33" fillId="25" borderId="93" xfId="133" applyFont="1" applyFill="1" applyBorder="1" applyAlignment="1">
      <alignment horizontal="center" vertical="center"/>
    </xf>
    <xf numFmtId="175" fontId="33" fillId="2" borderId="93" xfId="131" applyNumberFormat="1" applyFont="1" applyFill="1" applyBorder="1" applyAlignment="1">
      <alignment horizontal="center" vertical="center"/>
    </xf>
    <xf numFmtId="9" fontId="33" fillId="25" borderId="76" xfId="133" applyFont="1" applyFill="1" applyBorder="1" applyAlignment="1">
      <alignment horizontal="center" vertical="center"/>
    </xf>
    <xf numFmtId="0" fontId="33" fillId="25" borderId="60" xfId="0" applyFont="1" applyFill="1" applyBorder="1" applyAlignment="1">
      <alignment horizontal="left" vertical="center"/>
    </xf>
    <xf numFmtId="0" fontId="33" fillId="25" borderId="61" xfId="0" applyFont="1" applyFill="1" applyBorder="1" applyAlignment="1">
      <alignment horizontal="left" vertical="center"/>
    </xf>
    <xf numFmtId="0" fontId="33" fillId="25" borderId="62" xfId="0" applyFont="1" applyFill="1" applyBorder="1" applyAlignment="1">
      <alignment horizontal="left" vertical="center"/>
    </xf>
    <xf numFmtId="0" fontId="33" fillId="25" borderId="53" xfId="0" applyFont="1" applyFill="1" applyBorder="1" applyAlignment="1">
      <alignment horizontal="left" vertical="center"/>
    </xf>
    <xf numFmtId="0" fontId="33" fillId="25" borderId="0" xfId="0" applyFont="1" applyFill="1" applyBorder="1" applyAlignment="1">
      <alignment horizontal="left" vertical="center"/>
    </xf>
    <xf numFmtId="0" fontId="33" fillId="25" borderId="54" xfId="0" applyFont="1" applyFill="1" applyBorder="1" applyAlignment="1">
      <alignment horizontal="left" vertical="center"/>
    </xf>
    <xf numFmtId="0" fontId="33" fillId="25" borderId="90" xfId="0" applyFont="1" applyFill="1" applyBorder="1" applyAlignment="1">
      <alignment horizontal="left" vertical="center"/>
    </xf>
    <xf numFmtId="0" fontId="33" fillId="25" borderId="5" xfId="0" applyFont="1" applyFill="1" applyBorder="1" applyAlignment="1">
      <alignment horizontal="left" vertical="center"/>
    </xf>
    <xf numFmtId="0" fontId="33" fillId="25" borderId="91" xfId="0" applyFont="1" applyFill="1" applyBorder="1" applyAlignment="1">
      <alignment horizontal="left" vertical="center"/>
    </xf>
    <xf numFmtId="0" fontId="33" fillId="25" borderId="73" xfId="0" applyFont="1" applyFill="1" applyBorder="1" applyAlignment="1">
      <alignment horizontal="left" vertical="center" wrapText="1"/>
    </xf>
    <xf numFmtId="0" fontId="33" fillId="25" borderId="74" xfId="0" applyFont="1" applyFill="1" applyBorder="1" applyAlignment="1">
      <alignment horizontal="left" vertical="center" wrapText="1"/>
    </xf>
    <xf numFmtId="0" fontId="33" fillId="25" borderId="75" xfId="0" applyFont="1" applyFill="1" applyBorder="1" applyAlignment="1">
      <alignment horizontal="left" vertical="center" wrapText="1"/>
    </xf>
    <xf numFmtId="0" fontId="33" fillId="25" borderId="60" xfId="0" applyFont="1" applyFill="1" applyBorder="1" applyAlignment="1">
      <alignment horizontal="left" vertical="center" wrapText="1"/>
    </xf>
    <xf numFmtId="0" fontId="33" fillId="25" borderId="61" xfId="0" applyFont="1" applyFill="1" applyBorder="1" applyAlignment="1">
      <alignment horizontal="left" vertical="center" wrapText="1"/>
    </xf>
    <xf numFmtId="0" fontId="33" fillId="25" borderId="62" xfId="0" applyFont="1" applyFill="1" applyBorder="1" applyAlignment="1">
      <alignment horizontal="left" vertical="center" wrapText="1"/>
    </xf>
    <xf numFmtId="0" fontId="33" fillId="25" borderId="73" xfId="0" applyFont="1" applyFill="1" applyBorder="1" applyAlignment="1">
      <alignment horizontal="left" vertical="center"/>
    </xf>
    <xf numFmtId="0" fontId="33" fillId="25" borderId="74" xfId="0" applyFont="1" applyFill="1" applyBorder="1" applyAlignment="1">
      <alignment horizontal="left" vertical="center"/>
    </xf>
    <xf numFmtId="0" fontId="33" fillId="25" borderId="75" xfId="0" applyFont="1" applyFill="1" applyBorder="1" applyAlignment="1">
      <alignment horizontal="left" vertical="center"/>
    </xf>
    <xf numFmtId="0" fontId="33" fillId="25" borderId="15" xfId="0" applyFont="1" applyFill="1" applyBorder="1" applyAlignment="1">
      <alignment horizontal="left" vertical="center"/>
    </xf>
    <xf numFmtId="0" fontId="33" fillId="25" borderId="52" xfId="0" applyFont="1" applyFill="1" applyBorder="1" applyAlignment="1">
      <alignment horizontal="left" vertical="center"/>
    </xf>
    <xf numFmtId="9" fontId="33" fillId="25" borderId="48" xfId="133" applyFont="1" applyFill="1" applyBorder="1" applyAlignment="1">
      <alignment horizontal="center" vertical="center"/>
    </xf>
    <xf numFmtId="175" fontId="33" fillId="25" borderId="4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5" xfId="0" applyFont="1" applyFill="1" applyBorder="1" applyAlignment="1">
      <alignment horizontal="center" vertical="center" wrapText="1"/>
    </xf>
    <xf numFmtId="0" fontId="33" fillId="0" borderId="126" xfId="0" applyFont="1" applyFill="1" applyBorder="1" applyAlignment="1">
      <alignment horizontal="center" vertical="center" wrapText="1"/>
    </xf>
    <xf numFmtId="0" fontId="33" fillId="0" borderId="127" xfId="0" applyFont="1" applyFill="1" applyBorder="1" applyAlignment="1">
      <alignment horizontal="center" vertical="center" wrapText="1"/>
    </xf>
    <xf numFmtId="9" fontId="33" fillId="25" borderId="178" xfId="133" applyFont="1" applyFill="1" applyBorder="1" applyAlignment="1">
      <alignment horizontal="center" vertical="center"/>
    </xf>
    <xf numFmtId="0" fontId="33" fillId="2" borderId="117" xfId="0" applyFont="1" applyFill="1" applyBorder="1" applyAlignment="1">
      <alignment horizontal="center"/>
    </xf>
    <xf numFmtId="0" fontId="91" fillId="2" borderId="17" xfId="0" applyFont="1" applyFill="1" applyBorder="1" applyAlignment="1">
      <alignment horizontal="left" vertical="top" wrapText="1" indent="1"/>
    </xf>
    <xf numFmtId="0" fontId="91" fillId="2" borderId="0" xfId="0" applyFont="1" applyFill="1" applyBorder="1" applyAlignment="1">
      <alignment horizontal="left" vertical="top" wrapText="1" indent="1"/>
    </xf>
    <xf numFmtId="0" fontId="91" fillId="2" borderId="0" xfId="0" applyFont="1" applyFill="1" applyBorder="1" applyAlignment="1">
      <alignment horizontal="center" vertical="center" wrapText="1"/>
    </xf>
    <xf numFmtId="0" fontId="91" fillId="2" borderId="150" xfId="0" applyFont="1" applyFill="1" applyBorder="1" applyAlignment="1">
      <alignment horizontal="center" vertical="center" wrapText="1"/>
    </xf>
    <xf numFmtId="181" fontId="92" fillId="28" borderId="114" xfId="0" applyNumberFormat="1" applyFont="1" applyFill="1" applyBorder="1" applyAlignment="1">
      <alignment horizontal="center"/>
    </xf>
    <xf numFmtId="181" fontId="92" fillId="28" borderId="177" xfId="0" applyNumberFormat="1" applyFont="1" applyFill="1" applyBorder="1" applyAlignment="1">
      <alignment horizontal="center"/>
    </xf>
    <xf numFmtId="0" fontId="0" fillId="2" borderId="175" xfId="0" applyFill="1" applyBorder="1" applyAlignment="1">
      <alignment horizontal="left" wrapText="1"/>
    </xf>
    <xf numFmtId="0" fontId="33" fillId="0" borderId="176" xfId="233" applyFont="1" applyFill="1" applyBorder="1" applyAlignment="1">
      <alignment horizontal="left" vertical="center"/>
    </xf>
    <xf numFmtId="0" fontId="77" fillId="2" borderId="175"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33" fillId="2" borderId="167" xfId="0" applyFont="1" applyFill="1" applyBorder="1" applyAlignment="1">
      <alignment horizontal="right"/>
    </xf>
    <xf numFmtId="0" fontId="33" fillId="2" borderId="163" xfId="0" applyFont="1" applyFill="1" applyBorder="1" applyAlignment="1">
      <alignment horizontal="right"/>
    </xf>
    <xf numFmtId="0" fontId="33" fillId="0" borderId="167" xfId="0" applyFont="1" applyFill="1" applyBorder="1" applyAlignment="1">
      <alignment horizontal="right"/>
    </xf>
    <xf numFmtId="0" fontId="33" fillId="0" borderId="163" xfId="0" applyFont="1" applyFill="1" applyBorder="1" applyAlignment="1">
      <alignment horizontal="right"/>
    </xf>
    <xf numFmtId="0" fontId="37" fillId="2" borderId="167" xfId="0" applyFont="1" applyFill="1" applyBorder="1" applyAlignment="1">
      <alignment horizontal="right"/>
    </xf>
    <xf numFmtId="0" fontId="37" fillId="2" borderId="163" xfId="0"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4" xfId="0" applyFont="1" applyFill="1" applyBorder="1" applyAlignment="1">
      <alignment horizontal="center" wrapText="1"/>
    </xf>
    <xf numFmtId="0" fontId="33" fillId="2" borderId="5" xfId="0" applyFont="1" applyFill="1" applyBorder="1" applyAlignment="1">
      <alignment horizontal="center" wrapText="1"/>
    </xf>
    <xf numFmtId="0" fontId="33" fillId="2" borderId="170" xfId="0" applyFont="1" applyFill="1" applyBorder="1" applyAlignment="1">
      <alignment horizontal="center" wrapText="1"/>
    </xf>
    <xf numFmtId="0" fontId="33" fillId="2" borderId="0" xfId="0" applyFont="1" applyFill="1" applyBorder="1" applyAlignment="1">
      <alignment horizontal="center" wrapText="1"/>
    </xf>
    <xf numFmtId="0" fontId="37" fillId="43" borderId="167" xfId="0" applyFont="1" applyFill="1" applyBorder="1" applyAlignment="1">
      <alignment horizontal="right"/>
    </xf>
    <xf numFmtId="0" fontId="37" fillId="43" borderId="163" xfId="0" applyFont="1" applyFill="1" applyBorder="1" applyAlignment="1">
      <alignment horizontal="right"/>
    </xf>
    <xf numFmtId="0" fontId="73" fillId="2" borderId="0" xfId="0" applyFont="1" applyFill="1" applyAlignment="1">
      <alignment horizontal="left" vertical="top" wrapText="1"/>
    </xf>
    <xf numFmtId="0" fontId="73" fillId="2" borderId="0" xfId="0" applyFont="1" applyFill="1" applyAlignment="1">
      <alignment horizontal="left" wrapText="1"/>
    </xf>
    <xf numFmtId="0" fontId="73" fillId="2" borderId="0" xfId="0" applyFont="1" applyFill="1" applyAlignment="1">
      <alignment horizontal="left" vertical="center" wrapText="1"/>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dLbls>
          <c:showLegendKey val="0"/>
          <c:showVal val="0"/>
          <c:showCatName val="0"/>
          <c:showSerName val="0"/>
          <c:showPercent val="0"/>
          <c:showBubbleSize val="0"/>
        </c:dLbls>
        <c:gapWidth val="38"/>
        <c:overlap val="100"/>
        <c:axId val="55561216"/>
        <c:axId val="55571200"/>
      </c:barChart>
      <c:catAx>
        <c:axId val="55561216"/>
        <c:scaling>
          <c:orientation val="minMax"/>
        </c:scaling>
        <c:delete val="0"/>
        <c:axPos val="b"/>
        <c:majorTickMark val="out"/>
        <c:minorTickMark val="none"/>
        <c:tickLblPos val="nextTo"/>
        <c:txPr>
          <a:bodyPr/>
          <a:lstStyle/>
          <a:p>
            <a:pPr>
              <a:defRPr lang="en-AU" sz="1400"/>
            </a:pPr>
            <a:endParaRPr lang="en-US"/>
          </a:p>
        </c:txPr>
        <c:crossAx val="55571200"/>
        <c:crosses val="autoZero"/>
        <c:auto val="1"/>
        <c:lblAlgn val="ctr"/>
        <c:lblOffset val="100"/>
        <c:noMultiLvlLbl val="0"/>
      </c:catAx>
      <c:valAx>
        <c:axId val="55571200"/>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5556121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320</xdr:row>
      <xdr:rowOff>0</xdr:rowOff>
    </xdr:from>
    <xdr:to>
      <xdr:col>24</xdr:col>
      <xdr:colOff>324972</xdr:colOff>
      <xdr:row>320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Strategic%20Objectives%20and%20Program%20Activiti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15.%20Rating%20informat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11.%20Analysis%20of%20budgeted%20cash%20posit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03%20-%20Balance%20Shee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10%20-%20Discretionary%20Reserves%20Summar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06%20-%20Statement%20of%20Capital%20Work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7.%20Rates%20and%20charg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202017-18\Working%20Papers%20-%20Rates%20&amp;%20Charges\Property%20details%20by%20rate%20code%20-%20provided%20by%20Fi%20081216%20-%20if%202.5%25%20rate%20cap%20variation%20appli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10.%20Analysis%20of%20operating%20budg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Budget%202017-18\Working%20Papers%20-%20Expenditure\Confidential%20-%20Payroll%20data%20updated%2019%20May%202017%20for%20draft%20budget%20docu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Trial%20Balance%20used%20for%202017-18%20Draft%20Budge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5.%20Other%20budget%20information%20(grants%20and%20borrowing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25%20-%20ANNUAL%20FINANCIAL%20STATEMENTS\2016-2017%20Statements\MODEL%20FINANCIAL%20REPORT\BoQ%202016-17%20MODEL%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NANCE\25%20-%20ANNUAL%20FINANCIAL%20STATEMENTS\2015-2016%20Statements\FIXED%20ASSET%20REGISTER\WORK%20IN%20PROGRESS\2015-16%20Work%20in%20Progre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Changes%20proposed%20for%20Plan%20B%20Budge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keely\Documents\Offline%20Records%20(EP)\Borough%20~%20variation%20framework%20-%202017-18%20Rate%20Capping%20-%20Higher%20Cap%20Applications\2017-18%20Draft%20Budget%20-%206.%20Detailed%20list%20of%20capital%20wor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Objective 1"/>
      <sheetName val="Strategic Objective 2"/>
      <sheetName val="Strategic Objective 3"/>
      <sheetName val="Strategic Objective 4"/>
      <sheetName val="Strategic Objective 5"/>
      <sheetName val="Reconciliation with Op Result"/>
      <sheetName val="Budget Doc 2.7 Reconciliation"/>
    </sheetNames>
    <sheetDataSet>
      <sheetData sheetId="0">
        <row r="7">
          <cell r="B7" t="str">
            <v>Aged Services</v>
          </cell>
        </row>
        <row r="11">
          <cell r="B11" t="str">
            <v>Active Communities</v>
          </cell>
        </row>
        <row r="15">
          <cell r="B15" t="str">
            <v>Community Events</v>
          </cell>
        </row>
        <row r="19">
          <cell r="B19" t="str">
            <v>Maternal and Child Health (MCH)</v>
          </cell>
        </row>
        <row r="23">
          <cell r="B23" t="str">
            <v>Kindergarten</v>
          </cell>
        </row>
        <row r="27">
          <cell r="B27" t="str">
            <v>Environmental Health</v>
          </cell>
        </row>
        <row r="31">
          <cell r="B31" t="str">
            <v>Asset Management and</v>
          </cell>
        </row>
        <row r="32">
          <cell r="B32" t="str">
            <v>Appearance of Public Places</v>
          </cell>
        </row>
        <row r="35">
          <cell r="B35" t="str">
            <v>Local Laws, Safety and Amenity</v>
          </cell>
        </row>
        <row r="39">
          <cell r="B39" t="str">
            <v>Street Lighting</v>
          </cell>
        </row>
        <row r="43">
          <cell r="B43" t="str">
            <v>Powerline Safety</v>
          </cell>
        </row>
        <row r="47">
          <cell r="B47" t="str">
            <v>Library</v>
          </cell>
        </row>
        <row r="51">
          <cell r="B51" t="str">
            <v>Recreation, Arts and Culture</v>
          </cell>
        </row>
      </sheetData>
      <sheetData sheetId="1">
        <row r="7">
          <cell r="B7" t="str">
            <v>Environmental Sustainability</v>
          </cell>
        </row>
        <row r="11">
          <cell r="B11" t="str">
            <v>Coastal Protection</v>
          </cell>
        </row>
        <row r="15">
          <cell r="B15" t="str">
            <v>Waste Management and Recycling</v>
          </cell>
        </row>
      </sheetData>
      <sheetData sheetId="2">
        <row r="7">
          <cell r="B7" t="str">
            <v>Tourist Parks and Boat Ramp</v>
          </cell>
        </row>
        <row r="8">
          <cell r="B8" t="str">
            <v>Services</v>
          </cell>
        </row>
        <row r="11">
          <cell r="B11" t="str">
            <v>Visitor Information Centre (VIC)</v>
          </cell>
        </row>
        <row r="15">
          <cell r="B15" t="str">
            <v>Tourism and Economic Development</v>
          </cell>
        </row>
      </sheetData>
      <sheetData sheetId="3">
        <row r="7">
          <cell r="B7" t="str">
            <v>Design and Project Management</v>
          </cell>
        </row>
        <row r="11">
          <cell r="B11" t="str">
            <v>Land Use Planning</v>
          </cell>
        </row>
        <row r="15">
          <cell r="B15" t="str">
            <v>Heritage Conservation Advice</v>
          </cell>
        </row>
        <row r="19">
          <cell r="B19" t="str">
            <v>Building Control</v>
          </cell>
        </row>
      </sheetData>
      <sheetData sheetId="4">
        <row r="7">
          <cell r="B7" t="str">
            <v>Council Governance</v>
          </cell>
        </row>
        <row r="11">
          <cell r="B11" t="str">
            <v>Organisation Performance and</v>
          </cell>
        </row>
        <row r="12">
          <cell r="B12" t="str">
            <v>Compliance</v>
          </cell>
        </row>
        <row r="15">
          <cell r="B15" t="str">
            <v>Community Engagement and</v>
          </cell>
        </row>
        <row r="16">
          <cell r="B16" t="str">
            <v>Customer Service</v>
          </cell>
        </row>
        <row r="19">
          <cell r="B19" t="str">
            <v>Financial and Risk Management</v>
          </cell>
        </row>
      </sheetData>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 Rating context"/>
      <sheetName val="15.1 Comparative rates"/>
      <sheetName val="15.2 Current yr rates &amp; charges"/>
      <sheetName val="15.3 Rating structure"/>
      <sheetName val="15.4 General Revaluation"/>
      <sheetName val="Calculating the total &quot;bucket&quot;"/>
      <sheetName val="15.5 Waste Mgt Costs &amp; Charges"/>
      <sheetName val="2572619 Public Waste"/>
      <sheetName val="2572620 Kerbside Waste"/>
      <sheetName val="2572622 Landfill Disposal Levy"/>
      <sheetName val="1573000 Recycling Income"/>
      <sheetName val="2572625 Green Waste Exp"/>
    </sheetNames>
    <sheetDataSet>
      <sheetData sheetId="0" refreshError="1"/>
      <sheetData sheetId="1" refreshError="1"/>
      <sheetData sheetId="2" refreshError="1"/>
      <sheetData sheetId="3" refreshError="1"/>
      <sheetData sheetId="4" refreshError="1"/>
      <sheetData sheetId="5" refreshError="1"/>
      <sheetData sheetId="6">
        <row r="35">
          <cell r="J35">
            <v>847878.75</v>
          </cell>
          <cell r="K35">
            <v>868199.91578202404</v>
          </cell>
          <cell r="P35">
            <v>890835.85633404111</v>
          </cell>
          <cell r="Q35">
            <v>913891.40200990799</v>
          </cell>
          <cell r="R35">
            <v>937750.09298004245</v>
          </cell>
        </row>
      </sheetData>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Budgeted cash flow stat."/>
      <sheetName val="11.1.1 Operating activities"/>
      <sheetName val="11.2 Restricted &amp; unrestricted"/>
    </sheetNames>
    <sheetDataSet>
      <sheetData sheetId="0"/>
      <sheetData sheetId="1"/>
      <sheetData sheetId="2">
        <row r="8">
          <cell r="C8">
            <v>-522.41933999999992</v>
          </cell>
          <cell r="D8">
            <v>-0.89899999999997249</v>
          </cell>
        </row>
        <row r="9">
          <cell r="C9">
            <v>-978.13288000000011</v>
          </cell>
          <cell r="D9">
            <v>-1145</v>
          </cell>
        </row>
        <row r="11">
          <cell r="C11">
            <v>2258.6889530965896</v>
          </cell>
          <cell r="D11">
            <v>2176.2241495318463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s>
    <sheetDataSet>
      <sheetData sheetId="0">
        <row r="9">
          <cell r="C9">
            <v>1346.7275930965898</v>
          </cell>
          <cell r="E9">
            <v>1115.1570744407109</v>
          </cell>
          <cell r="F9">
            <v>943.21857688499813</v>
          </cell>
          <cell r="G9">
            <v>930.76115602653181</v>
          </cell>
        </row>
        <row r="10">
          <cell r="C10">
            <v>350</v>
          </cell>
          <cell r="D10">
            <v>350</v>
          </cell>
          <cell r="E10">
            <v>350</v>
          </cell>
          <cell r="F10">
            <v>350</v>
          </cell>
          <cell r="G10">
            <v>350</v>
          </cell>
        </row>
        <row r="11">
          <cell r="E11">
            <v>1500</v>
          </cell>
          <cell r="F11">
            <v>1000</v>
          </cell>
          <cell r="G11">
            <v>1000</v>
          </cell>
        </row>
        <row r="12">
          <cell r="C12">
            <v>4.8044099999999998</v>
          </cell>
          <cell r="D12">
            <v>4.8044099999999998</v>
          </cell>
          <cell r="E12">
            <v>4.8044099999999998</v>
          </cell>
          <cell r="F12">
            <v>4.8044099999999998</v>
          </cell>
          <cell r="G12">
            <v>4.8044099999999998</v>
          </cell>
        </row>
        <row r="13">
          <cell r="C13">
            <v>0</v>
          </cell>
          <cell r="D13">
            <v>0</v>
          </cell>
          <cell r="E13">
            <v>0</v>
          </cell>
          <cell r="F13">
            <v>0</v>
          </cell>
          <cell r="G13">
            <v>0</v>
          </cell>
        </row>
        <row r="14">
          <cell r="C14">
            <v>200</v>
          </cell>
          <cell r="D14">
            <v>200</v>
          </cell>
          <cell r="E14">
            <v>200</v>
          </cell>
          <cell r="F14">
            <v>200</v>
          </cell>
          <cell r="G14">
            <v>200</v>
          </cell>
        </row>
        <row r="18">
          <cell r="C18">
            <v>0</v>
          </cell>
          <cell r="D18">
            <v>0</v>
          </cell>
          <cell r="E18">
            <v>0</v>
          </cell>
          <cell r="F18">
            <v>0</v>
          </cell>
          <cell r="G18">
            <v>0</v>
          </cell>
        </row>
        <row r="19">
          <cell r="C19">
            <v>239.989</v>
          </cell>
          <cell r="D19">
            <v>239.989</v>
          </cell>
          <cell r="E19">
            <v>239.989</v>
          </cell>
          <cell r="F19">
            <v>239.989</v>
          </cell>
          <cell r="G19">
            <v>239.989</v>
          </cell>
        </row>
        <row r="20">
          <cell r="C20">
            <v>126208.88321383907</v>
          </cell>
          <cell r="D20">
            <v>129165.67583303907</v>
          </cell>
          <cell r="E20">
            <v>137215.12833223908</v>
          </cell>
          <cell r="F20">
            <v>137814.06783143908</v>
          </cell>
          <cell r="G20">
            <v>138289.64733063907</v>
          </cell>
        </row>
        <row r="26">
          <cell r="C26">
            <v>592.11715000000015</v>
          </cell>
          <cell r="D26">
            <v>835.06918600000017</v>
          </cell>
          <cell r="E26">
            <v>1370.9512999999999</v>
          </cell>
          <cell r="F26">
            <v>643.8225998800001</v>
          </cell>
          <cell r="G26">
            <v>645.53547787640002</v>
          </cell>
        </row>
        <row r="27">
          <cell r="C27">
            <v>87.486419999999995</v>
          </cell>
          <cell r="D27">
            <v>87.486419999999995</v>
          </cell>
          <cell r="E27">
            <v>87.486419999999995</v>
          </cell>
          <cell r="F27">
            <v>87.486419999999995</v>
          </cell>
          <cell r="G27">
            <v>87.486419999999995</v>
          </cell>
        </row>
        <row r="28">
          <cell r="C28">
            <v>910.03213505107681</v>
          </cell>
          <cell r="D28">
            <v>932.78293842735366</v>
          </cell>
          <cell r="E28">
            <v>956.10251188803738</v>
          </cell>
          <cell r="F28">
            <v>980.00507468523824</v>
          </cell>
          <cell r="G28">
            <v>1004.5052015523692</v>
          </cell>
        </row>
        <row r="29">
          <cell r="C29">
            <v>106.76137942263124</v>
          </cell>
          <cell r="D29">
            <v>77.526842934487675</v>
          </cell>
          <cell r="E29">
            <v>86.3260449670952</v>
          </cell>
          <cell r="F29">
            <v>95.485138244414742</v>
          </cell>
          <cell r="G29">
            <v>79.998361858510435</v>
          </cell>
        </row>
        <row r="30">
          <cell r="C30">
            <v>75</v>
          </cell>
          <cell r="D30">
            <v>75</v>
          </cell>
          <cell r="E30">
            <v>75</v>
          </cell>
          <cell r="F30">
            <v>75</v>
          </cell>
          <cell r="G30">
            <v>75</v>
          </cell>
        </row>
        <row r="34">
          <cell r="C34">
            <v>64.233674999999991</v>
          </cell>
          <cell r="D34">
            <v>65.839516874999987</v>
          </cell>
          <cell r="E34">
            <v>67.485504796874977</v>
          </cell>
          <cell r="F34">
            <v>69.172642416796847</v>
          </cell>
          <cell r="G34">
            <v>70.901958477216766</v>
          </cell>
        </row>
        <row r="35">
          <cell r="C35">
            <v>0</v>
          </cell>
          <cell r="D35">
            <v>155.45341168970566</v>
          </cell>
          <cell r="E35">
            <v>402.89210791757642</v>
          </cell>
          <cell r="F35">
            <v>623.52034927577631</v>
          </cell>
          <cell r="G35">
            <v>553.25923394923109</v>
          </cell>
        </row>
        <row r="41">
          <cell r="C41">
            <v>89706.919624546499</v>
          </cell>
          <cell r="D41">
            <v>92191.477698930481</v>
          </cell>
          <cell r="E41">
            <v>99984.330207656792</v>
          </cell>
          <cell r="F41">
            <v>100353.46979900396</v>
          </cell>
          <cell r="G41">
            <v>100913.74954642155</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s"/>
    </sheetNames>
    <sheetDataSet>
      <sheetData sheetId="0">
        <row r="20">
          <cell r="D20">
            <v>139.43494000000001</v>
          </cell>
        </row>
        <row r="41">
          <cell r="D41">
            <v>2313.36267</v>
          </cell>
          <cell r="E41">
            <v>1954.9359899999997</v>
          </cell>
          <cell r="F41">
            <v>599.63580999999954</v>
          </cell>
          <cell r="G41">
            <v>628.23621999999955</v>
          </cell>
          <cell r="H41">
            <v>587.83622999999955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of Capital Works"/>
    </sheetNames>
    <sheetDataSet>
      <sheetData sheetId="0">
        <row r="39">
          <cell r="E39">
            <v>3134.4088999999999</v>
          </cell>
          <cell r="F39">
            <v>553.9</v>
          </cell>
          <cell r="G39">
            <v>675.9</v>
          </cell>
        </row>
        <row r="40">
          <cell r="E40">
            <v>4669.3977999999997</v>
          </cell>
          <cell r="F40">
            <v>750.36</v>
          </cell>
          <cell r="G40">
            <v>1182.46</v>
          </cell>
        </row>
        <row r="41">
          <cell r="E41">
            <v>1656.6063000000001</v>
          </cell>
          <cell r="F41">
            <v>732.34</v>
          </cell>
          <cell r="G41">
            <v>73.540000000000006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Rates and charges"/>
      <sheetName val="7.1.11 FGRS Compliance"/>
    </sheetNames>
    <sheetDataSet>
      <sheetData sheetId="0">
        <row r="12">
          <cell r="C12">
            <v>5184338.5342715997</v>
          </cell>
        </row>
        <row r="13">
          <cell r="C13">
            <v>394872.77790852101</v>
          </cell>
        </row>
        <row r="14">
          <cell r="C14">
            <v>675238.54462239984</v>
          </cell>
        </row>
        <row r="15">
          <cell r="C15">
            <v>3824.1854315499995</v>
          </cell>
        </row>
        <row r="24">
          <cell r="B24">
            <v>3063</v>
          </cell>
          <cell r="C24">
            <v>3072</v>
          </cell>
        </row>
        <row r="54">
          <cell r="C54">
            <v>12000</v>
          </cell>
        </row>
        <row r="55">
          <cell r="C55">
            <v>868199.60054545454</v>
          </cell>
        </row>
        <row r="56">
          <cell r="C56">
            <v>-16080</v>
          </cell>
        </row>
        <row r="57">
          <cell r="C57">
            <v>-4960.9050083999991</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ISED SUPPS"/>
      <sheetName val="SUMMARY"/>
      <sheetName val="1001 Residential"/>
      <sheetName val="1005 Commercial"/>
      <sheetName val="1007 Tourist Accom"/>
      <sheetName val="1002 Cult &amp; Rec"/>
      <sheetName val="900 Pensioner Rebate"/>
      <sheetName val="1014 Kerbside Waste"/>
      <sheetName val="1013 Public Waste"/>
      <sheetName val="1015 Green Waste"/>
      <sheetName val="1016 Green Waste Optional"/>
      <sheetName val="1010 Bins Second Set"/>
      <sheetName val="41001 Bins Extra One"/>
    </sheetNames>
    <sheetDataSet>
      <sheetData sheetId="0">
        <row r="6">
          <cell r="I6">
            <v>44560.625285000249</v>
          </cell>
        </row>
      </sheetData>
      <sheetData sheetId="1">
        <row r="2">
          <cell r="C2">
            <v>2574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 Budgeted income statement"/>
      <sheetName val="10.1.1 Underlying graph"/>
      <sheetName val="10.2 Income"/>
      <sheetName val="10.3 Expenses"/>
      <sheetName val="10.3.1 Employees FTE status"/>
      <sheetName val="10.3.1 Employees variance"/>
      <sheetName val="10.3.2 Materials and services"/>
    </sheetNames>
    <sheetDataSet>
      <sheetData sheetId="0"/>
      <sheetData sheetId="1"/>
      <sheetData sheetId="2"/>
      <sheetData sheetId="3"/>
      <sheetData sheetId="4">
        <row r="28">
          <cell r="B28">
            <v>6.0210526315789474</v>
          </cell>
        </row>
        <row r="29">
          <cell r="B29">
            <v>6.8552272148826852</v>
          </cell>
        </row>
        <row r="30">
          <cell r="B30">
            <v>5.9441295546558699</v>
          </cell>
        </row>
        <row r="31">
          <cell r="B31">
            <v>5.4526315789473676</v>
          </cell>
        </row>
        <row r="32">
          <cell r="B32">
            <v>3.8210526315789473</v>
          </cell>
        </row>
        <row r="33">
          <cell r="B33">
            <v>2.1447368421052633</v>
          </cell>
        </row>
        <row r="34">
          <cell r="B34">
            <v>2</v>
          </cell>
        </row>
        <row r="35">
          <cell r="B35">
            <v>1.5</v>
          </cell>
        </row>
        <row r="36">
          <cell r="B36">
            <v>1.6973684210526316</v>
          </cell>
        </row>
        <row r="37">
          <cell r="B37">
            <v>1.1000000000000001</v>
          </cell>
        </row>
        <row r="38">
          <cell r="B38">
            <v>0.92105263157894735</v>
          </cell>
        </row>
        <row r="39">
          <cell r="B39">
            <v>0.89473684210526316</v>
          </cell>
        </row>
        <row r="40">
          <cell r="B40">
            <v>0.76315789473684215</v>
          </cell>
        </row>
        <row r="41">
          <cell r="B41">
            <v>0.63157894736842102</v>
          </cell>
        </row>
        <row r="42">
          <cell r="B42">
            <v>0.47368421052631576</v>
          </cell>
        </row>
        <row r="46">
          <cell r="B46">
            <v>1.6</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in budget document"/>
      <sheetName val="Statement of Human Resources"/>
      <sheetName val="LGPRF Input 7"/>
      <sheetName val="HIGH LEVEL SUMMARY"/>
      <sheetName val="2016-17 Budget"/>
      <sheetName val="SUMMARY"/>
      <sheetName val="2017-18 BUDGET"/>
      <sheetName val="2018-19 SRP"/>
      <sheetName val="2019-20 SRP"/>
      <sheetName val="2020-21 SRP"/>
      <sheetName val="2021-22 LTFP"/>
      <sheetName val="CCW Avg Hours"/>
    </sheetNames>
    <sheetDataSet>
      <sheetData sheetId="0" refreshError="1"/>
      <sheetData sheetId="1" refreshError="1"/>
      <sheetData sheetId="2" refreshError="1"/>
      <sheetData sheetId="3" refreshError="1"/>
      <sheetData sheetId="4" refreshError="1"/>
      <sheetData sheetId="5" refreshError="1"/>
      <sheetData sheetId="6">
        <row r="48">
          <cell r="D48">
            <v>0.19999999999999998</v>
          </cell>
        </row>
        <row r="49">
          <cell r="D49">
            <v>0.19999999999999998</v>
          </cell>
        </row>
        <row r="55">
          <cell r="AA55">
            <v>72489.780492017002</v>
          </cell>
        </row>
        <row r="70">
          <cell r="D70">
            <v>0.10121457489878542</v>
          </cell>
        </row>
        <row r="71">
          <cell r="D71">
            <v>0.16447368421052633</v>
          </cell>
        </row>
        <row r="72">
          <cell r="D72">
            <v>3.9473684210526314E-2</v>
          </cell>
        </row>
        <row r="73">
          <cell r="D73">
            <v>0.16447368421052633</v>
          </cell>
        </row>
        <row r="74">
          <cell r="D74">
            <v>0.13157894736842105</v>
          </cell>
        </row>
        <row r="75">
          <cell r="D75">
            <v>6.5789473684210523E-2</v>
          </cell>
        </row>
        <row r="76">
          <cell r="D76">
            <v>0.22368421052631579</v>
          </cell>
        </row>
        <row r="77">
          <cell r="D77">
            <v>0.16447368421052633</v>
          </cell>
        </row>
        <row r="78">
          <cell r="D78">
            <v>0.13157894736842105</v>
          </cell>
        </row>
        <row r="84">
          <cell r="D84">
            <v>0.6</v>
          </cell>
        </row>
        <row r="91">
          <cell r="D91">
            <v>0.4</v>
          </cell>
        </row>
        <row r="97">
          <cell r="D97">
            <v>9.9999999999999992E-2</v>
          </cell>
        </row>
        <row r="98">
          <cell r="D98">
            <v>7.8947368421052627E-2</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L BALANCE"/>
      <sheetName val="Attache report modified"/>
      <sheetName val="from Attache trial bal"/>
      <sheetName val="from Tech One trial bal"/>
      <sheetName val="from Tech One trial bal project"/>
      <sheetName val="Duplicates removed"/>
      <sheetName val="Pivot Table - Stat of Inc &amp; Exp"/>
      <sheetName val="Pivot Table - Comp Inc Stat"/>
      <sheetName val="Pivot Table - Stat of Reserves"/>
      <sheetName val="Pivot Table - KSAs"/>
      <sheetName val="Pivot Table - Capex Asset Class"/>
      <sheetName val="Pivot Table - Capex N-R-U"/>
      <sheetName val="Emp Costs Capital"/>
      <sheetName val="Pivot Table - Balance Sheet"/>
      <sheetName val="Pivot Table - Employee Costs"/>
      <sheetName val="Pivot Table - M&amp;S"/>
      <sheetName val="ESC Rates &amp; Charges"/>
      <sheetName val="ESC Stat Fees"/>
      <sheetName val="ESC User Fees"/>
      <sheetName val="ESC Grants Op"/>
      <sheetName val="ESC Grants Cap"/>
      <sheetName val="ESC Contrib Op"/>
      <sheetName val="ESC Contrib Cap"/>
      <sheetName val="ESC Other Inc"/>
      <sheetName val="ESC Employees"/>
      <sheetName val="ESC Mat &amp; Serv"/>
      <sheetName val="ESC B&amp;DD"/>
      <sheetName val="ESC Depn"/>
      <sheetName val="ESC Int Exp"/>
      <sheetName val="ESC Other Exp"/>
      <sheetName val="ESC Cap Wks"/>
      <sheetName val="ESC Depn by Class"/>
      <sheetName val="P13 Attache modified"/>
      <sheetName val="from P13 trial bal"/>
      <sheetName val="from Attache P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Row Labels</v>
          </cell>
        </row>
        <row r="7">
          <cell r="B7">
            <v>-376992.4</v>
          </cell>
          <cell r="C7">
            <v>-385426</v>
          </cell>
          <cell r="D7">
            <v>-393135</v>
          </cell>
          <cell r="E7">
            <v>-400997</v>
          </cell>
          <cell r="F7">
            <v>-409017</v>
          </cell>
        </row>
        <row r="8">
          <cell r="B8">
            <v>-4918849.5</v>
          </cell>
          <cell r="C8">
            <v>-5060311</v>
          </cell>
          <cell r="D8">
            <v>-5161518</v>
          </cell>
          <cell r="E8">
            <v>-5264748</v>
          </cell>
          <cell r="F8">
            <v>-5370043</v>
          </cell>
        </row>
        <row r="9">
          <cell r="B9">
            <v>-669758</v>
          </cell>
          <cell r="C9">
            <v>-659085</v>
          </cell>
          <cell r="D9">
            <v>-672266</v>
          </cell>
          <cell r="E9">
            <v>-685712</v>
          </cell>
          <cell r="F9">
            <v>-699426</v>
          </cell>
        </row>
        <row r="10">
          <cell r="C10">
            <v>-106668.9313517339</v>
          </cell>
        </row>
        <row r="11">
          <cell r="C11">
            <v>-530.98443029016278</v>
          </cell>
        </row>
        <row r="12">
          <cell r="C12">
            <v>-440300</v>
          </cell>
        </row>
        <row r="13">
          <cell r="C13">
            <v>-304700</v>
          </cell>
        </row>
        <row r="16">
          <cell r="B16">
            <v>0</v>
          </cell>
          <cell r="C16">
            <v>0</v>
          </cell>
          <cell r="D16">
            <v>0</v>
          </cell>
          <cell r="E16">
            <v>0</v>
          </cell>
          <cell r="F16">
            <v>0</v>
          </cell>
        </row>
        <row r="17">
          <cell r="B17">
            <v>-10000</v>
          </cell>
          <cell r="C17">
            <v>-10000</v>
          </cell>
          <cell r="D17">
            <v>-10000</v>
          </cell>
          <cell r="E17">
            <v>-10000</v>
          </cell>
          <cell r="F17">
            <v>-10000</v>
          </cell>
        </row>
        <row r="18">
          <cell r="B18">
            <v>0</v>
          </cell>
          <cell r="C18">
            <v>0</v>
          </cell>
          <cell r="D18">
            <v>0</v>
          </cell>
          <cell r="E18">
            <v>0</v>
          </cell>
          <cell r="F18">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A3" t="str">
            <v>Row Labels</v>
          </cell>
        </row>
        <row r="6">
          <cell r="A6" t="str">
            <v>Harbour Street Path, Road &amp; Drainage Improvements</v>
          </cell>
        </row>
        <row r="9">
          <cell r="A9" t="str">
            <v>Point Lonsdale Foreshore Revitalisation - Stage 3: Village Park Upgrade</v>
          </cell>
        </row>
        <row r="14">
          <cell r="A14" t="str">
            <v>Develop Stage 2 of the Queenscliff Sports &amp; Recreation Precinct Development Plan</v>
          </cell>
        </row>
        <row r="17">
          <cell r="B17">
            <v>16200</v>
          </cell>
          <cell r="C17">
            <v>16800</v>
          </cell>
        </row>
        <row r="18">
          <cell r="A18" t="str">
            <v>Project management - priority infrastructure projects (capital)</v>
          </cell>
          <cell r="B18">
            <v>178000</v>
          </cell>
          <cell r="C18">
            <v>184500</v>
          </cell>
        </row>
        <row r="24">
          <cell r="A24" t="str">
            <v>Destination Queenscliff Project Management</v>
          </cell>
        </row>
        <row r="31">
          <cell r="A31" t="str">
            <v>Queenscliff Historic Railway Precinct Project - Senior Citizens &amp; Sea Scouts Buildings</v>
          </cell>
        </row>
        <row r="33">
          <cell r="B33">
            <v>162.20999999999913</v>
          </cell>
          <cell r="C33">
            <v>34837.79</v>
          </cell>
        </row>
        <row r="34">
          <cell r="B34">
            <v>45000</v>
          </cell>
          <cell r="C34">
            <v>123000</v>
          </cell>
        </row>
        <row r="35">
          <cell r="B35">
            <v>0</v>
          </cell>
          <cell r="C35">
            <v>37073.040000000001</v>
          </cell>
        </row>
        <row r="36">
          <cell r="B36">
            <v>27000</v>
          </cell>
          <cell r="C36">
            <v>21000</v>
          </cell>
        </row>
        <row r="41">
          <cell r="A41" t="str">
            <v>Queenscliffe Cultural Hub</v>
          </cell>
        </row>
        <row r="43">
          <cell r="A43" t="str">
            <v>New decking at the Queenscliffe Neighbourhood House</v>
          </cell>
        </row>
        <row r="45">
          <cell r="A45" t="str">
            <v>Town hall upgrade including solar panels</v>
          </cell>
        </row>
        <row r="50">
          <cell r="A50" t="str">
            <v>Purchase and implementation of new finance system</v>
          </cell>
        </row>
        <row r="61">
          <cell r="A61" t="str">
            <v>Footpath Strategy</v>
          </cell>
        </row>
        <row r="69">
          <cell r="A69" t="str">
            <v>Extend rail trail path upgrade from The Narrows to Point Lonsdale P.S.</v>
          </cell>
        </row>
        <row r="78">
          <cell r="A78" t="str">
            <v>Plan for redevelopment of Council freehold land</v>
          </cell>
        </row>
        <row r="81">
          <cell r="A81" t="str">
            <v>Dog Beach Carpark Upgrade</v>
          </cell>
        </row>
        <row r="90">
          <cell r="A90" t="str">
            <v>Council Contribution to Point Lonsdale Tennis Club lighting</v>
          </cell>
        </row>
        <row r="92">
          <cell r="A92" t="str">
            <v>Towns entry and main road tourism signage plan</v>
          </cell>
        </row>
        <row r="95">
          <cell r="A95" t="str">
            <v>Plan for enhancing alternate power supply</v>
          </cell>
          <cell r="C95">
            <v>15000</v>
          </cell>
        </row>
        <row r="96">
          <cell r="A96" t="str">
            <v>Street Signs Upgrade</v>
          </cell>
          <cell r="C96">
            <v>5000</v>
          </cell>
        </row>
        <row r="98">
          <cell r="A98" t="str">
            <v>CSIRO C-Fast Modelling Project - Increase number of water fountains in Borough</v>
          </cell>
        </row>
        <row r="102">
          <cell r="A102" t="str">
            <v>Installation of path lighting at Ferry to Pier Shared Path</v>
          </cell>
          <cell r="B102">
            <v>78000</v>
          </cell>
        </row>
        <row r="103">
          <cell r="A103" t="str">
            <v>Installation of path lighting at Queenscliff Neighbourhood House</v>
          </cell>
          <cell r="B103">
            <v>25000</v>
          </cell>
        </row>
        <row r="104">
          <cell r="A104" t="str">
            <v>Planning for path lighting at The Narrows, between King St &amp; Murray Rd</v>
          </cell>
          <cell r="B104">
            <v>40000</v>
          </cell>
        </row>
        <row r="106">
          <cell r="A106" t="str">
            <v>King Street Bus Stop</v>
          </cell>
          <cell r="C106">
            <v>30000</v>
          </cell>
        </row>
        <row r="107">
          <cell r="A107" t="str">
            <v>Streetlight Replacement to LED</v>
          </cell>
          <cell r="C107">
            <v>186000</v>
          </cell>
        </row>
        <row r="112">
          <cell r="A112" t="str">
            <v>Destination Queenscliffe Stage 1</v>
          </cell>
        </row>
        <row r="114">
          <cell r="B114">
            <v>2402.8500000000004</v>
          </cell>
          <cell r="C114">
            <v>29597.15</v>
          </cell>
        </row>
        <row r="115">
          <cell r="B115">
            <v>15000</v>
          </cell>
          <cell r="C115">
            <v>7000</v>
          </cell>
        </row>
        <row r="116">
          <cell r="B116">
            <v>2000</v>
          </cell>
          <cell r="C116">
            <v>10000</v>
          </cell>
        </row>
        <row r="120">
          <cell r="A120" t="str">
            <v>Point Lonsdale Lighthouse Reserve</v>
          </cell>
        </row>
        <row r="122">
          <cell r="A122" t="str">
            <v>Queenscliff Front Beach Boardwalk</v>
          </cell>
        </row>
        <row r="123">
          <cell r="A123" t="str">
            <v>Queenscliff Park Stage 1 Improvements</v>
          </cell>
        </row>
        <row r="126">
          <cell r="B126">
            <v>5000</v>
          </cell>
          <cell r="C126">
            <v>5000</v>
          </cell>
        </row>
        <row r="127">
          <cell r="B127">
            <v>0</v>
          </cell>
          <cell r="C127">
            <v>5000</v>
          </cell>
        </row>
        <row r="128">
          <cell r="B128">
            <v>160000</v>
          </cell>
          <cell r="C128">
            <v>155000</v>
          </cell>
        </row>
        <row r="130">
          <cell r="A130" t="str">
            <v>Installation of CCTV cameras</v>
          </cell>
        </row>
        <row r="133">
          <cell r="B133">
            <v>25000</v>
          </cell>
          <cell r="C133">
            <v>20000</v>
          </cell>
        </row>
        <row r="134">
          <cell r="B134">
            <v>4100</v>
          </cell>
          <cell r="C134">
            <v>5000</v>
          </cell>
        </row>
        <row r="135">
          <cell r="B135">
            <v>0</v>
          </cell>
          <cell r="C135">
            <v>15000</v>
          </cell>
        </row>
        <row r="136">
          <cell r="B136">
            <v>2500</v>
          </cell>
          <cell r="C136">
            <v>5000</v>
          </cell>
        </row>
        <row r="137">
          <cell r="B137">
            <v>0</v>
          </cell>
          <cell r="C137">
            <v>5000</v>
          </cell>
        </row>
        <row r="139">
          <cell r="A139" t="str">
            <v>Plan for park to focus on children and families</v>
          </cell>
        </row>
        <row r="141">
          <cell r="A141" t="str">
            <v>Queenscliff Recreation Reserve &amp; Caravan Parks Masterplan</v>
          </cell>
        </row>
        <row r="143">
          <cell r="A143" t="str">
            <v>Improve the amenity of vacant land adjacent to Town Hall</v>
          </cell>
        </row>
        <row r="148">
          <cell r="B148">
            <v>5000</v>
          </cell>
          <cell r="C148">
            <v>10000</v>
          </cell>
        </row>
        <row r="149">
          <cell r="B149">
            <v>0</v>
          </cell>
          <cell r="C149">
            <v>0</v>
          </cell>
        </row>
        <row r="150">
          <cell r="B150">
            <v>16000</v>
          </cell>
          <cell r="C150">
            <v>20000</v>
          </cell>
        </row>
        <row r="151">
          <cell r="B151">
            <v>60000</v>
          </cell>
          <cell r="C151">
            <v>75000</v>
          </cell>
        </row>
        <row r="152">
          <cell r="B152">
            <v>0</v>
          </cell>
          <cell r="C152">
            <v>231300</v>
          </cell>
        </row>
        <row r="153">
          <cell r="C153">
            <v>0</v>
          </cell>
        </row>
        <row r="154">
          <cell r="A154" t="str">
            <v>Replace Kerb &amp; Channel in Hobson Street</v>
          </cell>
          <cell r="C154">
            <v>5000</v>
          </cell>
        </row>
        <row r="156">
          <cell r="A156" t="str">
            <v>Hesse Street Streetscape</v>
          </cell>
        </row>
        <row r="158">
          <cell r="A158" t="str">
            <v>Construction of School Crossing - St. Aloysius Primary School</v>
          </cell>
        </row>
      </sheetData>
      <sheetData sheetId="31">
        <row r="2">
          <cell r="C2">
            <v>18463.759999999998</v>
          </cell>
          <cell r="D2">
            <v>18500</v>
          </cell>
        </row>
        <row r="3">
          <cell r="C3">
            <v>11960.13</v>
          </cell>
          <cell r="D3">
            <v>12000</v>
          </cell>
        </row>
        <row r="4">
          <cell r="C4">
            <v>44583.88</v>
          </cell>
          <cell r="D4">
            <v>44600</v>
          </cell>
        </row>
        <row r="5">
          <cell r="C5">
            <v>29996</v>
          </cell>
          <cell r="D5">
            <v>30000</v>
          </cell>
        </row>
        <row r="6">
          <cell r="C6">
            <v>13374</v>
          </cell>
          <cell r="D6">
            <v>13400</v>
          </cell>
        </row>
        <row r="7">
          <cell r="C7">
            <v>17044</v>
          </cell>
          <cell r="D7">
            <v>17000</v>
          </cell>
        </row>
        <row r="8">
          <cell r="C8">
            <v>237508</v>
          </cell>
          <cell r="D8">
            <v>237500</v>
          </cell>
        </row>
        <row r="9">
          <cell r="C9">
            <v>91256.86</v>
          </cell>
          <cell r="D9">
            <v>91300</v>
          </cell>
        </row>
        <row r="10">
          <cell r="C10">
            <v>69765.710000000006</v>
          </cell>
          <cell r="D10">
            <v>69800</v>
          </cell>
        </row>
        <row r="11">
          <cell r="C11">
            <v>18382.560000000001</v>
          </cell>
          <cell r="D11">
            <v>18400</v>
          </cell>
        </row>
        <row r="12">
          <cell r="C12">
            <v>29243.200000000001</v>
          </cell>
          <cell r="D12">
            <v>29200</v>
          </cell>
        </row>
        <row r="13">
          <cell r="C13">
            <v>85128.44</v>
          </cell>
          <cell r="D13">
            <v>85100</v>
          </cell>
        </row>
        <row r="14">
          <cell r="C14">
            <v>417397.78</v>
          </cell>
          <cell r="D14">
            <v>417400</v>
          </cell>
        </row>
        <row r="15">
          <cell r="C15">
            <v>37129.523600000008</v>
          </cell>
          <cell r="D15">
            <v>112399.2408</v>
          </cell>
        </row>
      </sheetData>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Grants - operating"/>
      <sheetName val="5.2 Grants - capital"/>
      <sheetName val="5.3 Statement of borrowings"/>
    </sheetNames>
    <sheetDataSet>
      <sheetData sheetId="0" refreshError="1">
        <row r="25">
          <cell r="C25">
            <v>-30000</v>
          </cell>
        </row>
        <row r="26">
          <cell r="C26">
            <v>-45000</v>
          </cell>
        </row>
        <row r="27">
          <cell r="C27">
            <v>-12500</v>
          </cell>
        </row>
        <row r="31">
          <cell r="C31">
            <v>-7000</v>
          </cell>
          <cell r="D31">
            <v>-3000</v>
          </cell>
        </row>
        <row r="32">
          <cell r="C32">
            <v>-1000</v>
          </cell>
        </row>
      </sheetData>
      <sheetData sheetId="1">
        <row r="31">
          <cell r="D31">
            <v>-231300</v>
          </cell>
          <cell r="G31">
            <v>-231300</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 Assets"/>
      <sheetName val="Merge Details_Printing instr"/>
      <sheetName val="TRIAL BALANCE"/>
      <sheetName val="HEADER Annual Financial Report"/>
      <sheetName val="Table of Contents"/>
      <sheetName val="Inc Stat"/>
      <sheetName val="Bal Sheet"/>
      <sheetName val="Equity Stat"/>
      <sheetName val="Cash Flow Stat"/>
      <sheetName val="Cash Flow Worksheet (info only)"/>
      <sheetName val="Cap Works Stat"/>
      <sheetName val="Intro &amp; Note 1(a)-(d)"/>
      <sheetName val="Note 1(e)-(k)"/>
      <sheetName val="Note 1(l)-(p)"/>
      <sheetName val="Note 1(q)-(w)"/>
      <sheetName val="Note 2(a)"/>
      <sheetName val="Note 2(b)"/>
      <sheetName val="Notes 3-5"/>
      <sheetName val="Note 6"/>
      <sheetName val="Notes 7-11"/>
      <sheetName val="Notes 12-17"/>
      <sheetName val="Notes 18-22"/>
      <sheetName val="Note 23 (Summary)"/>
      <sheetName val="Note 23 (L&amp;B)"/>
      <sheetName val="Note 23 (P&amp;E)"/>
      <sheetName val="Note 23 (Infra)"/>
      <sheetName val="Note 23 (Valuations)"/>
      <sheetName val="Note 23 (LUR Rec)-24"/>
      <sheetName val="Notes 25-26"/>
      <sheetName val="Notes 27-29(a)"/>
      <sheetName val="Note 29(b)"/>
      <sheetName val="Notes 30-31"/>
      <sheetName val="Note 32"/>
      <sheetName val="Notes 33-34 (in part)"/>
      <sheetName val="Note 34 (remainder) - 35"/>
      <sheetName val="Note 36(a) - (b)"/>
      <sheetName val="Note 36(c)-(f)"/>
      <sheetName val="Notes 37-39"/>
      <sheetName val="FR Certification"/>
    </sheetNames>
    <sheetDataSet>
      <sheetData sheetId="0"/>
      <sheetData sheetId="1"/>
      <sheetData sheetId="2"/>
      <sheetData sheetId="3"/>
      <sheetData sheetId="4"/>
      <sheetData sheetId="5"/>
      <sheetData sheetId="6"/>
      <sheetData sheetId="7">
        <row r="16">
          <cell r="E16">
            <v>36995.534086772765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6">
          <cell r="D26">
            <v>70212.999999999985</v>
          </cell>
          <cell r="E26">
            <v>20798.5</v>
          </cell>
          <cell r="F26">
            <v>5</v>
          </cell>
          <cell r="J26">
            <v>14978.619006133718</v>
          </cell>
        </row>
      </sheetData>
      <sheetData sheetId="24">
        <row r="26">
          <cell r="D26">
            <v>322.80121228511877</v>
          </cell>
          <cell r="E26">
            <v>87.554922219178167</v>
          </cell>
          <cell r="F26">
            <v>233.29928515169968</v>
          </cell>
        </row>
      </sheetData>
      <sheetData sheetId="25">
        <row r="27">
          <cell r="D27">
            <v>11396.178987404139</v>
          </cell>
          <cell r="E27">
            <v>1007.3340129316941</v>
          </cell>
          <cell r="F27">
            <v>2362.1049331474128</v>
          </cell>
          <cell r="G27">
            <v>1640.5017150558906</v>
          </cell>
          <cell r="H27">
            <v>149.98297000000002</v>
          </cell>
          <cell r="I27">
            <v>1370.5906790558906</v>
          </cell>
          <cell r="J27">
            <v>529.57700240504914</v>
          </cell>
          <cell r="K27">
            <v>408.31550804931504</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P Fixed Asset Register"/>
      <sheetName val="3100910 trans"/>
      <sheetName val="3100911 trans"/>
      <sheetName val="3100912 trans"/>
      <sheetName val="3100914 trans"/>
      <sheetName val="7300208"/>
      <sheetName val="7300311"/>
      <sheetName val="7300312"/>
      <sheetName val="7300302 &amp; 7300306"/>
    </sheetNames>
    <sheetDataSet>
      <sheetData sheetId="0">
        <row r="9">
          <cell r="H9">
            <v>74495</v>
          </cell>
        </row>
        <row r="10">
          <cell r="H10">
            <v>149417.78000000003</v>
          </cell>
        </row>
        <row r="11">
          <cell r="H11">
            <v>12485.31</v>
          </cell>
        </row>
        <row r="18">
          <cell r="H18">
            <v>701.12</v>
          </cell>
        </row>
        <row r="20">
          <cell r="H20">
            <v>138429.57999999999</v>
          </cell>
        </row>
        <row r="21">
          <cell r="H21">
            <v>10984.19</v>
          </cell>
        </row>
        <row r="22">
          <cell r="H22">
            <v>71598.5</v>
          </cell>
        </row>
        <row r="24">
          <cell r="H24">
            <v>112500.89</v>
          </cell>
        </row>
        <row r="25">
          <cell r="H25">
            <v>74664.61</v>
          </cell>
        </row>
        <row r="32">
          <cell r="H32">
            <v>61246</v>
          </cell>
        </row>
      </sheetData>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incl. in ESC template"/>
      <sheetName val="After meeting with Lenny 300517"/>
      <sheetName val="Per Lenny's notes"/>
    </sheetNames>
    <sheetDataSet>
      <sheetData sheetId="0"/>
      <sheetData sheetId="1">
        <row r="4">
          <cell r="D4">
            <v>30000</v>
          </cell>
        </row>
        <row r="6">
          <cell r="D6">
            <v>15000</v>
          </cell>
        </row>
        <row r="7">
          <cell r="D7">
            <v>3500</v>
          </cell>
        </row>
        <row r="9">
          <cell r="D9">
            <v>15000</v>
          </cell>
        </row>
        <row r="10">
          <cell r="D10">
            <v>-5000</v>
          </cell>
        </row>
        <row r="11">
          <cell r="D11">
            <v>5000</v>
          </cell>
        </row>
        <row r="12">
          <cell r="D12">
            <v>15000</v>
          </cell>
        </row>
        <row r="13">
          <cell r="D13">
            <v>10000</v>
          </cell>
        </row>
        <row r="14">
          <cell r="D14">
            <v>10000</v>
          </cell>
        </row>
        <row r="16">
          <cell r="D16">
            <v>-1100</v>
          </cell>
        </row>
        <row r="17">
          <cell r="D17">
            <v>-52200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Detailed Capital Works"/>
      <sheetName val="Summary for infographic"/>
      <sheetName val="Data"/>
      <sheetName val="Fig 1. Rate contrib to Cap Exp"/>
      <sheetName val="Fig 4. Rate contrib by Priority"/>
    </sheetNames>
    <sheetDataSet>
      <sheetData sheetId="0">
        <row r="9">
          <cell r="I9">
            <v>23</v>
          </cell>
        </row>
        <row r="10">
          <cell r="I10">
            <v>20</v>
          </cell>
        </row>
        <row r="11">
          <cell r="I11">
            <v>16</v>
          </cell>
        </row>
        <row r="12">
          <cell r="I12">
            <v>15.999999999999996</v>
          </cell>
        </row>
        <row r="13">
          <cell r="J13">
            <v>100</v>
          </cell>
        </row>
        <row r="14">
          <cell r="H14">
            <v>5</v>
          </cell>
          <cell r="I14">
            <v>10</v>
          </cell>
        </row>
        <row r="23">
          <cell r="L23">
            <v>77.5</v>
          </cell>
        </row>
        <row r="26">
          <cell r="I26">
            <v>87.5</v>
          </cell>
        </row>
        <row r="30">
          <cell r="I30">
            <v>5</v>
          </cell>
        </row>
        <row r="34">
          <cell r="I34">
            <v>30</v>
          </cell>
        </row>
        <row r="41">
          <cell r="I41">
            <v>75</v>
          </cell>
        </row>
        <row r="42">
          <cell r="I42">
            <v>20</v>
          </cell>
        </row>
        <row r="43">
          <cell r="I43">
            <v>10</v>
          </cell>
        </row>
        <row r="44">
          <cell r="G44">
            <v>231.3</v>
          </cell>
        </row>
        <row r="45">
          <cell r="I45">
            <v>40</v>
          </cell>
        </row>
        <row r="46">
          <cell r="I46">
            <v>15</v>
          </cell>
        </row>
        <row r="47">
          <cell r="J47">
            <v>5</v>
          </cell>
        </row>
        <row r="48">
          <cell r="I48">
            <v>32</v>
          </cell>
        </row>
        <row r="52">
          <cell r="I52">
            <v>12</v>
          </cell>
        </row>
        <row r="53">
          <cell r="I53">
            <v>32</v>
          </cell>
        </row>
        <row r="57">
          <cell r="I57">
            <v>35</v>
          </cell>
        </row>
        <row r="58">
          <cell r="I58">
            <v>16</v>
          </cell>
        </row>
        <row r="62">
          <cell r="I62">
            <v>5</v>
          </cell>
        </row>
        <row r="63">
          <cell r="I63">
            <v>5</v>
          </cell>
        </row>
        <row r="64">
          <cell r="I64">
            <v>20</v>
          </cell>
        </row>
        <row r="65">
          <cell r="I65">
            <v>5</v>
          </cell>
        </row>
        <row r="66">
          <cell r="I66">
            <v>5</v>
          </cell>
        </row>
        <row r="67">
          <cell r="I67">
            <v>40</v>
          </cell>
        </row>
        <row r="72">
          <cell r="I72">
            <v>16.000000000000004</v>
          </cell>
        </row>
        <row r="73">
          <cell r="I73">
            <v>7</v>
          </cell>
        </row>
        <row r="74">
          <cell r="I74">
            <v>10</v>
          </cell>
        </row>
        <row r="75">
          <cell r="G75">
            <v>348.95100000000002</v>
          </cell>
        </row>
        <row r="76">
          <cell r="G76">
            <v>300</v>
          </cell>
          <cell r="I76">
            <v>75</v>
          </cell>
        </row>
        <row r="84">
          <cell r="J84">
            <v>15</v>
          </cell>
        </row>
        <row r="85">
          <cell r="I85">
            <v>30</v>
          </cell>
        </row>
        <row r="86">
          <cell r="I86">
            <v>5</v>
          </cell>
        </row>
        <row r="101">
          <cell r="J101">
            <v>75.504999999999995</v>
          </cell>
        </row>
        <row r="105">
          <cell r="J105">
            <v>100</v>
          </cell>
        </row>
        <row r="106">
          <cell r="J106">
            <v>14.83779</v>
          </cell>
        </row>
        <row r="107">
          <cell r="J107">
            <v>5</v>
          </cell>
        </row>
        <row r="108">
          <cell r="J108">
            <v>21.073040000000002</v>
          </cell>
        </row>
        <row r="109">
          <cell r="G109">
            <v>917.5</v>
          </cell>
          <cell r="J109">
            <v>-236.23638500000001</v>
          </cell>
        </row>
        <row r="110">
          <cell r="J110">
            <v>1.68858</v>
          </cell>
        </row>
        <row r="118">
          <cell r="G118">
            <v>55.05</v>
          </cell>
          <cell r="J118">
            <v>-14.1741831</v>
          </cell>
        </row>
        <row r="122">
          <cell r="J122">
            <v>20</v>
          </cell>
        </row>
        <row r="126">
          <cell r="J126">
            <v>15.7</v>
          </cell>
        </row>
        <row r="130">
          <cell r="J130">
            <v>10</v>
          </cell>
        </row>
        <row r="131">
          <cell r="G131">
            <v>862.44999999999993</v>
          </cell>
          <cell r="J131">
            <v>-222.06220189999999</v>
          </cell>
        </row>
        <row r="135">
          <cell r="J135">
            <v>13.597149999999999</v>
          </cell>
        </row>
        <row r="136">
          <cell r="J136">
            <v>179.76499999999999</v>
          </cell>
        </row>
        <row r="140">
          <cell r="J140">
            <v>8.5654799999999991</v>
          </cell>
          <cell r="K140">
            <v>177.43451999999999</v>
          </cell>
        </row>
        <row r="141">
          <cell r="G141">
            <v>10</v>
          </cell>
          <cell r="I141">
            <v>10</v>
          </cell>
          <cell r="J141">
            <v>10</v>
          </cell>
        </row>
        <row r="142">
          <cell r="J142">
            <v>13.647069999999999</v>
          </cell>
        </row>
        <row r="143">
          <cell r="J143">
            <v>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ynne.stevenson@queenscliffe.vic.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workbookViewId="0"/>
  </sheetViews>
  <sheetFormatPr defaultRowHeight="12.75" x14ac:dyDescent="0.2"/>
  <cols>
    <col min="1" max="1" width="4.1640625" style="275" customWidth="1"/>
    <col min="2" max="4" width="3.83203125" style="275" customWidth="1"/>
    <col min="5" max="5" width="7.1640625" style="275" customWidth="1"/>
    <col min="6" max="7" width="9.33203125" style="275"/>
    <col min="8" max="8" width="3.83203125" style="275" customWidth="1"/>
    <col min="9" max="9" width="9.33203125" style="275"/>
    <col min="10" max="10" width="14.33203125" style="275" customWidth="1"/>
    <col min="11" max="11" width="28.33203125" style="275" customWidth="1"/>
    <col min="12" max="12" width="4" style="275" customWidth="1"/>
    <col min="13" max="14" width="9.33203125" style="275"/>
    <col min="15" max="15" width="4.5" style="275" customWidth="1"/>
    <col min="16" max="16" width="10.83203125" style="275" customWidth="1"/>
    <col min="17" max="23" width="11" style="275" customWidth="1"/>
    <col min="24" max="38" width="10.5" style="275" customWidth="1"/>
    <col min="39" max="16384" width="9.33203125" style="275"/>
  </cols>
  <sheetData>
    <row r="1" spans="1:33" s="14" customFormat="1" x14ac:dyDescent="0.2">
      <c r="A1" s="153"/>
      <c r="B1" s="153"/>
    </row>
    <row r="2" spans="1:33" s="14" customFormat="1" x14ac:dyDescent="0.2">
      <c r="A2" s="153"/>
      <c r="B2" s="153"/>
      <c r="C2" s="168"/>
      <c r="F2" s="168" t="s">
        <v>208</v>
      </c>
    </row>
    <row r="3" spans="1:33" s="14" customFormat="1" x14ac:dyDescent="0.2">
      <c r="C3" s="169"/>
      <c r="F3" s="169" t="s">
        <v>0</v>
      </c>
    </row>
    <row r="4" spans="1:33" s="14" customFormat="1" ht="25.5" customHeight="1" x14ac:dyDescent="0.2">
      <c r="C4" s="169"/>
      <c r="F4" s="278" t="s">
        <v>187</v>
      </c>
    </row>
    <row r="5" spans="1:33" s="129" customFormat="1" ht="17.25" customHeight="1" x14ac:dyDescent="0.2"/>
    <row r="8" spans="1:33" x14ac:dyDescent="0.2">
      <c r="C8" s="753" t="s">
        <v>52</v>
      </c>
      <c r="D8" s="754"/>
      <c r="E8" s="754"/>
      <c r="F8" s="755"/>
      <c r="J8" s="402" t="s">
        <v>228</v>
      </c>
      <c r="K8" s="352" t="s">
        <v>470</v>
      </c>
      <c r="Q8" s="285" t="s">
        <v>432</v>
      </c>
      <c r="R8" s="285"/>
      <c r="S8" s="285"/>
      <c r="T8" s="285"/>
      <c r="U8" s="285"/>
      <c r="V8" s="285"/>
      <c r="W8" s="285"/>
      <c r="X8" s="285"/>
      <c r="Y8" s="285"/>
      <c r="Z8" s="285"/>
      <c r="AA8" s="285"/>
      <c r="AB8" s="285"/>
      <c r="AC8" s="285"/>
      <c r="AD8" s="285"/>
      <c r="AE8" s="285"/>
      <c r="AF8" s="285"/>
      <c r="AG8" s="285"/>
    </row>
    <row r="9" spans="1:33" x14ac:dyDescent="0.2">
      <c r="C9" s="753" t="s">
        <v>72</v>
      </c>
      <c r="D9" s="754"/>
      <c r="E9" s="754"/>
      <c r="F9" s="755"/>
      <c r="G9" s="275" t="s">
        <v>441</v>
      </c>
      <c r="J9" s="402" t="s">
        <v>229</v>
      </c>
      <c r="K9" s="352" t="s">
        <v>471</v>
      </c>
      <c r="Q9" s="285" t="s">
        <v>71</v>
      </c>
      <c r="R9" s="285" t="s">
        <v>72</v>
      </c>
      <c r="S9" s="285" t="s">
        <v>234</v>
      </c>
      <c r="T9" s="285" t="s">
        <v>235</v>
      </c>
      <c r="U9" s="285" t="s">
        <v>236</v>
      </c>
      <c r="V9" s="285" t="s">
        <v>237</v>
      </c>
      <c r="W9" s="285" t="s">
        <v>238</v>
      </c>
      <c r="X9" s="285" t="s">
        <v>239</v>
      </c>
      <c r="Y9" s="285" t="s">
        <v>240</v>
      </c>
      <c r="Z9" s="285" t="s">
        <v>241</v>
      </c>
      <c r="AA9" s="285" t="s">
        <v>242</v>
      </c>
      <c r="AB9" s="285" t="s">
        <v>243</v>
      </c>
      <c r="AC9" s="285" t="s">
        <v>433</v>
      </c>
      <c r="AD9" s="285" t="s">
        <v>434</v>
      </c>
      <c r="AE9" s="285" t="s">
        <v>435</v>
      </c>
      <c r="AF9" s="285" t="s">
        <v>436</v>
      </c>
      <c r="AG9" s="285" t="s">
        <v>437</v>
      </c>
    </row>
    <row r="10" spans="1:33" x14ac:dyDescent="0.2">
      <c r="J10" s="402" t="s">
        <v>230</v>
      </c>
      <c r="K10" s="352" t="s">
        <v>472</v>
      </c>
      <c r="Q10" s="285" t="s">
        <v>72</v>
      </c>
      <c r="R10" s="285" t="s">
        <v>234</v>
      </c>
      <c r="S10" s="285" t="s">
        <v>235</v>
      </c>
      <c r="T10" s="285" t="s">
        <v>236</v>
      </c>
      <c r="U10" s="285" t="s">
        <v>237</v>
      </c>
      <c r="V10" s="285" t="s">
        <v>238</v>
      </c>
      <c r="W10" s="285" t="s">
        <v>239</v>
      </c>
      <c r="X10" s="285" t="s">
        <v>240</v>
      </c>
      <c r="Y10" s="285" t="s">
        <v>241</v>
      </c>
      <c r="Z10" s="285" t="s">
        <v>242</v>
      </c>
      <c r="AA10" s="285" t="s">
        <v>243</v>
      </c>
      <c r="AB10" s="285" t="s">
        <v>433</v>
      </c>
      <c r="AC10" s="285" t="s">
        <v>434</v>
      </c>
      <c r="AD10" s="285" t="s">
        <v>435</v>
      </c>
      <c r="AE10" s="285" t="s">
        <v>436</v>
      </c>
      <c r="AF10" s="285" t="s">
        <v>437</v>
      </c>
      <c r="AG10" s="285" t="s">
        <v>438</v>
      </c>
    </row>
    <row r="11" spans="1:33" x14ac:dyDescent="0.2">
      <c r="J11" s="402" t="s">
        <v>231</v>
      </c>
      <c r="K11" s="689" t="s">
        <v>473</v>
      </c>
      <c r="Q11" s="285" t="s">
        <v>234</v>
      </c>
      <c r="R11" s="285" t="s">
        <v>235</v>
      </c>
      <c r="S11" s="285" t="s">
        <v>236</v>
      </c>
      <c r="T11" s="285" t="s">
        <v>237</v>
      </c>
      <c r="U11" s="285" t="s">
        <v>238</v>
      </c>
      <c r="V11" s="285" t="s">
        <v>239</v>
      </c>
      <c r="W11" s="285" t="s">
        <v>240</v>
      </c>
      <c r="X11" s="285" t="s">
        <v>241</v>
      </c>
      <c r="Y11" s="285" t="s">
        <v>242</v>
      </c>
      <c r="Z11" s="285" t="s">
        <v>243</v>
      </c>
      <c r="AA11" s="285" t="s">
        <v>433</v>
      </c>
      <c r="AB11" s="285" t="s">
        <v>434</v>
      </c>
      <c r="AC11" s="285" t="s">
        <v>435</v>
      </c>
      <c r="AD11" s="285" t="s">
        <v>436</v>
      </c>
      <c r="AE11" s="285" t="s">
        <v>437</v>
      </c>
      <c r="AF11" s="285" t="s">
        <v>438</v>
      </c>
      <c r="AG11" s="285" t="s">
        <v>439</v>
      </c>
    </row>
    <row r="12" spans="1:33" x14ac:dyDescent="0.2">
      <c r="Q12" s="285" t="s">
        <v>235</v>
      </c>
      <c r="R12" s="285" t="s">
        <v>236</v>
      </c>
      <c r="S12" s="285" t="s">
        <v>237</v>
      </c>
      <c r="T12" s="285" t="s">
        <v>238</v>
      </c>
      <c r="U12" s="285" t="s">
        <v>239</v>
      </c>
      <c r="V12" s="285" t="s">
        <v>240</v>
      </c>
      <c r="W12" s="285" t="s">
        <v>241</v>
      </c>
      <c r="X12" s="285" t="s">
        <v>242</v>
      </c>
      <c r="Y12" s="285" t="s">
        <v>243</v>
      </c>
      <c r="Z12" s="285" t="s">
        <v>433</v>
      </c>
      <c r="AA12" s="285" t="s">
        <v>434</v>
      </c>
      <c r="AB12" s="285" t="s">
        <v>435</v>
      </c>
      <c r="AC12" s="285" t="s">
        <v>436</v>
      </c>
      <c r="AD12" s="285" t="s">
        <v>437</v>
      </c>
      <c r="AE12" s="285" t="s">
        <v>438</v>
      </c>
      <c r="AF12" s="285" t="s">
        <v>439</v>
      </c>
      <c r="AG12" s="285" t="s">
        <v>440</v>
      </c>
    </row>
    <row r="13" spans="1:33" x14ac:dyDescent="0.2">
      <c r="Q13" s="285" t="s">
        <v>236</v>
      </c>
      <c r="R13" s="285" t="s">
        <v>237</v>
      </c>
      <c r="S13" s="285" t="s">
        <v>238</v>
      </c>
      <c r="T13" s="285" t="s">
        <v>239</v>
      </c>
      <c r="U13" s="285" t="s">
        <v>240</v>
      </c>
      <c r="V13" s="285" t="s">
        <v>241</v>
      </c>
      <c r="W13" s="285" t="s">
        <v>242</v>
      </c>
      <c r="X13" s="285" t="s">
        <v>243</v>
      </c>
      <c r="Y13" s="285" t="s">
        <v>433</v>
      </c>
      <c r="Z13" s="285" t="s">
        <v>434</v>
      </c>
      <c r="AA13" s="285" t="s">
        <v>435</v>
      </c>
      <c r="AB13" s="285" t="s">
        <v>436</v>
      </c>
      <c r="AC13" s="285" t="s">
        <v>437</v>
      </c>
      <c r="AD13" s="285" t="s">
        <v>438</v>
      </c>
      <c r="AE13" s="285" t="s">
        <v>439</v>
      </c>
      <c r="AF13" s="285" t="s">
        <v>440</v>
      </c>
      <c r="AG13" s="285"/>
    </row>
    <row r="14" spans="1:33" x14ac:dyDescent="0.2">
      <c r="C14" s="276" t="s">
        <v>185</v>
      </c>
      <c r="Q14" s="285" t="s">
        <v>237</v>
      </c>
      <c r="R14" s="285" t="s">
        <v>238</v>
      </c>
      <c r="S14" s="285" t="s">
        <v>239</v>
      </c>
      <c r="T14" s="285" t="s">
        <v>240</v>
      </c>
      <c r="U14" s="285" t="s">
        <v>241</v>
      </c>
      <c r="V14" s="285" t="s">
        <v>242</v>
      </c>
      <c r="W14" s="285" t="s">
        <v>243</v>
      </c>
      <c r="X14" s="285" t="s">
        <v>433</v>
      </c>
      <c r="Y14" s="285" t="s">
        <v>434</v>
      </c>
      <c r="Z14" s="285" t="s">
        <v>435</v>
      </c>
      <c r="AA14" s="285" t="s">
        <v>436</v>
      </c>
      <c r="AB14" s="285" t="s">
        <v>437</v>
      </c>
      <c r="AC14" s="285" t="s">
        <v>438</v>
      </c>
      <c r="AD14" s="285" t="s">
        <v>439</v>
      </c>
      <c r="AE14" s="285" t="s">
        <v>440</v>
      </c>
      <c r="AF14" s="285"/>
      <c r="AG14" s="285"/>
    </row>
    <row r="15" spans="1:33" x14ac:dyDescent="0.2">
      <c r="Q15" s="285" t="s">
        <v>238</v>
      </c>
      <c r="R15" s="285" t="s">
        <v>239</v>
      </c>
      <c r="S15" s="285" t="s">
        <v>240</v>
      </c>
      <c r="T15" s="285" t="s">
        <v>241</v>
      </c>
      <c r="U15" s="285" t="s">
        <v>242</v>
      </c>
      <c r="V15" s="285" t="s">
        <v>243</v>
      </c>
      <c r="W15" s="285" t="s">
        <v>433</v>
      </c>
      <c r="X15" s="285" t="s">
        <v>434</v>
      </c>
      <c r="Y15" s="285" t="s">
        <v>435</v>
      </c>
      <c r="Z15" s="285" t="s">
        <v>436</v>
      </c>
      <c r="AA15" s="285" t="s">
        <v>437</v>
      </c>
      <c r="AB15" s="285" t="s">
        <v>438</v>
      </c>
      <c r="AC15" s="285" t="s">
        <v>439</v>
      </c>
      <c r="AD15" s="285" t="s">
        <v>440</v>
      </c>
      <c r="AE15" s="285"/>
      <c r="AF15" s="285"/>
      <c r="AG15" s="285"/>
    </row>
    <row r="16" spans="1:33" x14ac:dyDescent="0.2">
      <c r="C16" s="763" t="s">
        <v>464</v>
      </c>
      <c r="D16" s="729"/>
      <c r="E16" s="729"/>
      <c r="F16" s="729"/>
      <c r="G16" s="729"/>
      <c r="H16" s="729"/>
      <c r="I16" s="729"/>
      <c r="J16" s="729"/>
      <c r="K16" s="729"/>
      <c r="L16" s="729"/>
      <c r="M16" s="729"/>
      <c r="N16" s="752"/>
      <c r="Q16" s="285" t="s">
        <v>239</v>
      </c>
      <c r="R16" s="285" t="s">
        <v>240</v>
      </c>
      <c r="S16" s="285" t="s">
        <v>241</v>
      </c>
      <c r="T16" s="285" t="s">
        <v>242</v>
      </c>
      <c r="U16" s="285" t="s">
        <v>243</v>
      </c>
      <c r="V16" s="285" t="s">
        <v>433</v>
      </c>
      <c r="W16" s="285" t="s">
        <v>434</v>
      </c>
      <c r="X16" s="285" t="s">
        <v>435</v>
      </c>
      <c r="Y16" s="285" t="s">
        <v>436</v>
      </c>
      <c r="Z16" s="285" t="s">
        <v>437</v>
      </c>
      <c r="AA16" s="285" t="s">
        <v>438</v>
      </c>
      <c r="AB16" s="285" t="s">
        <v>439</v>
      </c>
      <c r="AC16" s="285" t="s">
        <v>440</v>
      </c>
      <c r="AD16" s="285"/>
      <c r="AE16" s="285"/>
      <c r="AF16" s="285"/>
      <c r="AG16" s="285"/>
    </row>
    <row r="17" spans="3:33" x14ac:dyDescent="0.2">
      <c r="C17" s="731"/>
      <c r="D17" s="732"/>
      <c r="E17" s="732"/>
      <c r="F17" s="732"/>
      <c r="G17" s="732"/>
      <c r="H17" s="732"/>
      <c r="I17" s="732"/>
      <c r="J17" s="732"/>
      <c r="K17" s="732"/>
      <c r="L17" s="732"/>
      <c r="M17" s="732"/>
      <c r="N17" s="733"/>
      <c r="Q17" s="285" t="s">
        <v>240</v>
      </c>
      <c r="R17" s="285" t="s">
        <v>241</v>
      </c>
      <c r="S17" s="285" t="s">
        <v>242</v>
      </c>
      <c r="T17" s="285" t="s">
        <v>243</v>
      </c>
      <c r="U17" s="285" t="s">
        <v>433</v>
      </c>
      <c r="V17" s="285" t="s">
        <v>434</v>
      </c>
      <c r="W17" s="285" t="s">
        <v>435</v>
      </c>
      <c r="X17" s="285" t="s">
        <v>436</v>
      </c>
      <c r="Y17" s="285" t="s">
        <v>437</v>
      </c>
      <c r="Z17" s="285" t="s">
        <v>438</v>
      </c>
      <c r="AA17" s="285" t="s">
        <v>439</v>
      </c>
      <c r="AB17" s="285" t="s">
        <v>440</v>
      </c>
      <c r="AC17" s="285"/>
      <c r="AD17" s="285"/>
      <c r="AE17" s="285"/>
      <c r="AF17" s="285"/>
      <c r="AG17" s="285"/>
    </row>
    <row r="18" spans="3:33" x14ac:dyDescent="0.2">
      <c r="C18" s="731"/>
      <c r="D18" s="732"/>
      <c r="E18" s="732"/>
      <c r="F18" s="732"/>
      <c r="G18" s="732"/>
      <c r="H18" s="732"/>
      <c r="I18" s="732"/>
      <c r="J18" s="732"/>
      <c r="K18" s="732"/>
      <c r="L18" s="732"/>
      <c r="M18" s="732"/>
      <c r="N18" s="733"/>
      <c r="Q18" s="285" t="s">
        <v>241</v>
      </c>
      <c r="R18" s="285" t="s">
        <v>242</v>
      </c>
      <c r="S18" s="285" t="s">
        <v>243</v>
      </c>
      <c r="T18" s="285" t="s">
        <v>433</v>
      </c>
      <c r="U18" s="285" t="s">
        <v>434</v>
      </c>
      <c r="V18" s="285" t="s">
        <v>435</v>
      </c>
      <c r="W18" s="285" t="s">
        <v>436</v>
      </c>
      <c r="X18" s="285" t="s">
        <v>437</v>
      </c>
      <c r="Y18" s="285" t="s">
        <v>438</v>
      </c>
      <c r="Z18" s="285" t="s">
        <v>439</v>
      </c>
      <c r="AA18" s="285" t="s">
        <v>440</v>
      </c>
      <c r="AB18" s="285"/>
      <c r="AC18" s="285"/>
      <c r="AD18" s="285"/>
      <c r="AE18" s="285"/>
      <c r="AF18" s="285"/>
      <c r="AG18" s="285"/>
    </row>
    <row r="19" spans="3:33" x14ac:dyDescent="0.2">
      <c r="C19" s="731"/>
      <c r="D19" s="732"/>
      <c r="E19" s="732"/>
      <c r="F19" s="732"/>
      <c r="G19" s="732"/>
      <c r="H19" s="732"/>
      <c r="I19" s="732"/>
      <c r="J19" s="732"/>
      <c r="K19" s="732"/>
      <c r="L19" s="732"/>
      <c r="M19" s="732"/>
      <c r="N19" s="733"/>
      <c r="Q19" s="285" t="s">
        <v>242</v>
      </c>
      <c r="R19" s="285" t="s">
        <v>243</v>
      </c>
      <c r="S19" s="285" t="s">
        <v>433</v>
      </c>
      <c r="T19" s="285" t="s">
        <v>434</v>
      </c>
      <c r="U19" s="285" t="s">
        <v>435</v>
      </c>
      <c r="V19" s="285" t="s">
        <v>436</v>
      </c>
      <c r="W19" s="285" t="s">
        <v>437</v>
      </c>
      <c r="X19" s="285" t="s">
        <v>438</v>
      </c>
      <c r="Y19" s="285" t="s">
        <v>439</v>
      </c>
      <c r="Z19" s="285" t="s">
        <v>440</v>
      </c>
      <c r="AA19" s="285"/>
      <c r="AB19" s="285"/>
      <c r="AC19" s="285"/>
      <c r="AD19" s="285"/>
      <c r="AE19" s="285"/>
      <c r="AF19" s="285"/>
      <c r="AG19" s="285"/>
    </row>
    <row r="20" spans="3:33" x14ac:dyDescent="0.2">
      <c r="C20" s="731"/>
      <c r="D20" s="732"/>
      <c r="E20" s="732"/>
      <c r="F20" s="732"/>
      <c r="G20" s="732"/>
      <c r="H20" s="732"/>
      <c r="I20" s="732"/>
      <c r="J20" s="732"/>
      <c r="K20" s="732"/>
      <c r="L20" s="732"/>
      <c r="M20" s="732"/>
      <c r="N20" s="733"/>
      <c r="Q20" s="285" t="s">
        <v>243</v>
      </c>
      <c r="R20" s="285" t="s">
        <v>433</v>
      </c>
      <c r="S20" s="285" t="s">
        <v>434</v>
      </c>
      <c r="T20" s="285" t="s">
        <v>435</v>
      </c>
      <c r="U20" s="285" t="s">
        <v>436</v>
      </c>
      <c r="V20" s="285" t="s">
        <v>437</v>
      </c>
      <c r="W20" s="285" t="s">
        <v>438</v>
      </c>
      <c r="X20" s="285" t="s">
        <v>439</v>
      </c>
      <c r="Y20" s="285" t="s">
        <v>440</v>
      </c>
      <c r="Z20" s="285"/>
      <c r="AA20" s="285"/>
      <c r="AB20" s="285"/>
      <c r="AC20" s="285"/>
      <c r="AD20" s="285"/>
      <c r="AE20" s="285"/>
      <c r="AF20" s="285"/>
      <c r="AG20" s="285"/>
    </row>
    <row r="21" spans="3:33" x14ac:dyDescent="0.2">
      <c r="C21" s="731"/>
      <c r="D21" s="732"/>
      <c r="E21" s="732"/>
      <c r="F21" s="732"/>
      <c r="G21" s="732"/>
      <c r="H21" s="732"/>
      <c r="I21" s="732"/>
      <c r="J21" s="732"/>
      <c r="K21" s="732"/>
      <c r="L21" s="732"/>
      <c r="M21" s="732"/>
      <c r="N21" s="733"/>
      <c r="Q21" s="285" t="s">
        <v>433</v>
      </c>
      <c r="R21" s="285" t="s">
        <v>434</v>
      </c>
      <c r="S21" s="285" t="s">
        <v>435</v>
      </c>
      <c r="T21" s="285" t="s">
        <v>436</v>
      </c>
      <c r="U21" s="285" t="s">
        <v>437</v>
      </c>
      <c r="V21" s="285" t="s">
        <v>438</v>
      </c>
      <c r="W21" s="285" t="s">
        <v>439</v>
      </c>
      <c r="X21" s="285" t="s">
        <v>440</v>
      </c>
      <c r="Y21" s="285"/>
      <c r="Z21" s="285"/>
      <c r="AA21" s="285"/>
      <c r="AB21" s="285"/>
      <c r="AC21" s="285"/>
      <c r="AD21" s="285"/>
      <c r="AE21" s="285"/>
      <c r="AF21" s="285"/>
      <c r="AG21" s="285"/>
    </row>
    <row r="22" spans="3:33" x14ac:dyDescent="0.2">
      <c r="C22" s="731"/>
      <c r="D22" s="732"/>
      <c r="E22" s="732"/>
      <c r="F22" s="732"/>
      <c r="G22" s="732"/>
      <c r="H22" s="732"/>
      <c r="I22" s="732"/>
      <c r="J22" s="732"/>
      <c r="K22" s="732"/>
      <c r="L22" s="732"/>
      <c r="M22" s="732"/>
      <c r="N22" s="733"/>
      <c r="Q22" s="285" t="s">
        <v>434</v>
      </c>
      <c r="R22" s="285" t="s">
        <v>435</v>
      </c>
      <c r="S22" s="285" t="s">
        <v>436</v>
      </c>
      <c r="T22" s="285" t="s">
        <v>437</v>
      </c>
      <c r="U22" s="285" t="s">
        <v>438</v>
      </c>
      <c r="V22" s="285" t="s">
        <v>439</v>
      </c>
      <c r="W22" s="285" t="s">
        <v>440</v>
      </c>
      <c r="X22" s="285"/>
      <c r="Y22" s="285"/>
      <c r="Z22" s="285"/>
      <c r="AA22" s="285"/>
      <c r="AB22" s="285"/>
      <c r="AC22" s="285"/>
      <c r="AD22" s="285"/>
      <c r="AE22" s="285"/>
      <c r="AF22" s="285"/>
      <c r="AG22" s="285"/>
    </row>
    <row r="23" spans="3:33" x14ac:dyDescent="0.2">
      <c r="C23" s="731"/>
      <c r="D23" s="732"/>
      <c r="E23" s="732"/>
      <c r="F23" s="732"/>
      <c r="G23" s="732"/>
      <c r="H23" s="732"/>
      <c r="I23" s="732"/>
      <c r="J23" s="732"/>
      <c r="K23" s="732"/>
      <c r="L23" s="732"/>
      <c r="M23" s="732"/>
      <c r="N23" s="733"/>
      <c r="Q23" s="285" t="s">
        <v>435</v>
      </c>
      <c r="R23" s="285" t="s">
        <v>436</v>
      </c>
      <c r="S23" s="285" t="s">
        <v>437</v>
      </c>
      <c r="T23" s="285" t="s">
        <v>438</v>
      </c>
      <c r="U23" s="285" t="s">
        <v>439</v>
      </c>
      <c r="V23" s="285" t="s">
        <v>440</v>
      </c>
      <c r="W23" s="645"/>
      <c r="X23" s="645"/>
      <c r="Y23" s="285"/>
      <c r="Z23" s="285"/>
      <c r="AA23" s="285"/>
      <c r="AB23" s="285"/>
      <c r="AC23" s="285"/>
      <c r="AD23" s="285"/>
      <c r="AE23" s="285"/>
      <c r="AF23" s="285"/>
      <c r="AG23" s="285"/>
    </row>
    <row r="24" spans="3:33" x14ac:dyDescent="0.2">
      <c r="C24" s="731"/>
      <c r="D24" s="732"/>
      <c r="E24" s="732"/>
      <c r="F24" s="732"/>
      <c r="G24" s="732"/>
      <c r="H24" s="732"/>
      <c r="I24" s="732"/>
      <c r="J24" s="732"/>
      <c r="K24" s="732"/>
      <c r="L24" s="732"/>
      <c r="M24" s="732"/>
      <c r="N24" s="733"/>
      <c r="Q24" s="285" t="s">
        <v>437</v>
      </c>
      <c r="R24" s="285" t="s">
        <v>438</v>
      </c>
      <c r="S24" s="285" t="s">
        <v>439</v>
      </c>
      <c r="T24" s="285" t="s">
        <v>440</v>
      </c>
      <c r="U24" s="285"/>
      <c r="V24" s="646"/>
      <c r="W24" s="645"/>
      <c r="X24" s="645"/>
      <c r="Y24" s="285"/>
      <c r="Z24" s="285"/>
      <c r="AA24" s="285"/>
      <c r="AB24" s="285"/>
      <c r="AC24" s="285"/>
      <c r="AD24" s="285"/>
      <c r="AE24" s="285"/>
      <c r="AF24" s="285"/>
      <c r="AG24" s="285"/>
    </row>
    <row r="25" spans="3:33" x14ac:dyDescent="0.2">
      <c r="C25" s="731"/>
      <c r="D25" s="732"/>
      <c r="E25" s="732"/>
      <c r="F25" s="732"/>
      <c r="G25" s="732"/>
      <c r="H25" s="732"/>
      <c r="I25" s="732"/>
      <c r="J25" s="732"/>
      <c r="K25" s="732"/>
      <c r="L25" s="732"/>
      <c r="M25" s="732"/>
      <c r="N25" s="733"/>
      <c r="Q25" s="285" t="s">
        <v>438</v>
      </c>
      <c r="R25" s="285" t="s">
        <v>439</v>
      </c>
      <c r="S25" s="285" t="s">
        <v>440</v>
      </c>
      <c r="T25" s="285"/>
      <c r="U25" s="285"/>
      <c r="V25" s="646"/>
      <c r="W25" s="645"/>
      <c r="X25" s="645"/>
      <c r="Y25" s="285"/>
      <c r="Z25" s="285"/>
      <c r="AA25" s="285"/>
      <c r="AB25" s="285"/>
      <c r="AC25" s="285"/>
      <c r="AD25" s="285"/>
      <c r="AE25" s="285"/>
      <c r="AF25" s="285"/>
      <c r="AG25" s="285"/>
    </row>
    <row r="26" spans="3:33" x14ac:dyDescent="0.2">
      <c r="C26" s="731"/>
      <c r="D26" s="732"/>
      <c r="E26" s="732"/>
      <c r="F26" s="732"/>
      <c r="G26" s="732"/>
      <c r="H26" s="732"/>
      <c r="I26" s="732"/>
      <c r="J26" s="732"/>
      <c r="K26" s="732"/>
      <c r="L26" s="732"/>
      <c r="M26" s="732"/>
      <c r="N26" s="733"/>
      <c r="Q26" s="285" t="s">
        <v>439</v>
      </c>
      <c r="R26" s="285" t="s">
        <v>440</v>
      </c>
      <c r="S26" s="285"/>
      <c r="T26" s="285"/>
      <c r="U26" s="285"/>
      <c r="V26" s="646"/>
      <c r="W26" s="645"/>
      <c r="X26" s="645"/>
      <c r="Y26" s="285"/>
      <c r="Z26" s="285"/>
      <c r="AA26" s="285"/>
      <c r="AB26" s="285"/>
      <c r="AC26" s="285"/>
      <c r="AD26" s="285"/>
      <c r="AE26" s="285"/>
      <c r="AF26" s="285"/>
      <c r="AG26" s="285"/>
    </row>
    <row r="27" spans="3:33" x14ac:dyDescent="0.2">
      <c r="C27" s="731"/>
      <c r="D27" s="732"/>
      <c r="E27" s="732"/>
      <c r="F27" s="732"/>
      <c r="G27" s="732"/>
      <c r="H27" s="732"/>
      <c r="I27" s="732"/>
      <c r="J27" s="732"/>
      <c r="K27" s="732"/>
      <c r="L27" s="732"/>
      <c r="M27" s="732"/>
      <c r="N27" s="733"/>
      <c r="V27" s="158"/>
      <c r="W27" s="163"/>
      <c r="X27" s="163"/>
    </row>
    <row r="28" spans="3:33" x14ac:dyDescent="0.2">
      <c r="C28" s="731"/>
      <c r="D28" s="732"/>
      <c r="E28" s="732"/>
      <c r="F28" s="732"/>
      <c r="G28" s="732"/>
      <c r="H28" s="732"/>
      <c r="I28" s="732"/>
      <c r="J28" s="732"/>
      <c r="K28" s="732"/>
      <c r="L28" s="732"/>
      <c r="M28" s="732"/>
      <c r="N28" s="733"/>
      <c r="V28" s="158"/>
      <c r="W28" s="163"/>
      <c r="X28" s="163"/>
    </row>
    <row r="29" spans="3:33" x14ac:dyDescent="0.2">
      <c r="C29" s="731"/>
      <c r="D29" s="732"/>
      <c r="E29" s="732"/>
      <c r="F29" s="732"/>
      <c r="G29" s="732"/>
      <c r="H29" s="732"/>
      <c r="I29" s="732"/>
      <c r="J29" s="732"/>
      <c r="K29" s="732"/>
      <c r="L29" s="732"/>
      <c r="M29" s="732"/>
      <c r="N29" s="733"/>
      <c r="V29" s="158"/>
      <c r="W29" s="163"/>
      <c r="X29" s="163"/>
    </row>
    <row r="30" spans="3:33" x14ac:dyDescent="0.2">
      <c r="C30" s="731"/>
      <c r="D30" s="732"/>
      <c r="E30" s="732"/>
      <c r="F30" s="732"/>
      <c r="G30" s="732"/>
      <c r="H30" s="732"/>
      <c r="I30" s="732"/>
      <c r="J30" s="732"/>
      <c r="K30" s="732"/>
      <c r="L30" s="732"/>
      <c r="M30" s="732"/>
      <c r="N30" s="733"/>
    </row>
    <row r="31" spans="3:33" x14ac:dyDescent="0.2">
      <c r="C31" s="731"/>
      <c r="D31" s="732"/>
      <c r="E31" s="732"/>
      <c r="F31" s="732"/>
      <c r="G31" s="732"/>
      <c r="H31" s="732"/>
      <c r="I31" s="732"/>
      <c r="J31" s="732"/>
      <c r="K31" s="732"/>
      <c r="L31" s="732"/>
      <c r="M31" s="732"/>
      <c r="N31" s="733"/>
    </row>
    <row r="32" spans="3:33" x14ac:dyDescent="0.2">
      <c r="C32" s="731"/>
      <c r="D32" s="732"/>
      <c r="E32" s="732"/>
      <c r="F32" s="732"/>
      <c r="G32" s="732"/>
      <c r="H32" s="732"/>
      <c r="I32" s="732"/>
      <c r="J32" s="732"/>
      <c r="K32" s="732"/>
      <c r="L32" s="732"/>
      <c r="M32" s="732"/>
      <c r="N32" s="733"/>
    </row>
    <row r="33" spans="3:14" x14ac:dyDescent="0.2">
      <c r="C33" s="731"/>
      <c r="D33" s="732"/>
      <c r="E33" s="732"/>
      <c r="F33" s="732"/>
      <c r="G33" s="732"/>
      <c r="H33" s="732"/>
      <c r="I33" s="732"/>
      <c r="J33" s="732"/>
      <c r="K33" s="732"/>
      <c r="L33" s="732"/>
      <c r="M33" s="732"/>
      <c r="N33" s="733"/>
    </row>
    <row r="34" spans="3:14" x14ac:dyDescent="0.2">
      <c r="C34" s="731"/>
      <c r="D34" s="732"/>
      <c r="E34" s="732"/>
      <c r="F34" s="732"/>
      <c r="G34" s="732"/>
      <c r="H34" s="732"/>
      <c r="I34" s="732"/>
      <c r="J34" s="732"/>
      <c r="K34" s="732"/>
      <c r="L34" s="732"/>
      <c r="M34" s="732"/>
      <c r="N34" s="733"/>
    </row>
    <row r="35" spans="3:14" x14ac:dyDescent="0.2">
      <c r="C35" s="731"/>
      <c r="D35" s="732"/>
      <c r="E35" s="732"/>
      <c r="F35" s="732"/>
      <c r="G35" s="732"/>
      <c r="H35" s="732"/>
      <c r="I35" s="732"/>
      <c r="J35" s="732"/>
      <c r="K35" s="732"/>
      <c r="L35" s="732"/>
      <c r="M35" s="732"/>
      <c r="N35" s="733"/>
    </row>
    <row r="36" spans="3:14" x14ac:dyDescent="0.2">
      <c r="C36" s="731"/>
      <c r="D36" s="732"/>
      <c r="E36" s="732"/>
      <c r="F36" s="732"/>
      <c r="G36" s="732"/>
      <c r="H36" s="732"/>
      <c r="I36" s="732"/>
      <c r="J36" s="732"/>
      <c r="K36" s="732"/>
      <c r="L36" s="732"/>
      <c r="M36" s="732"/>
      <c r="N36" s="733"/>
    </row>
    <row r="37" spans="3:14" x14ac:dyDescent="0.2">
      <c r="C37" s="731"/>
      <c r="D37" s="732"/>
      <c r="E37" s="732"/>
      <c r="F37" s="732"/>
      <c r="G37" s="732"/>
      <c r="H37" s="732"/>
      <c r="I37" s="732"/>
      <c r="J37" s="732"/>
      <c r="K37" s="732"/>
      <c r="L37" s="732"/>
      <c r="M37" s="732"/>
      <c r="N37" s="733"/>
    </row>
    <row r="38" spans="3:14" x14ac:dyDescent="0.2">
      <c r="C38" s="731"/>
      <c r="D38" s="732"/>
      <c r="E38" s="732"/>
      <c r="F38" s="732"/>
      <c r="G38" s="732"/>
      <c r="H38" s="732"/>
      <c r="I38" s="732"/>
      <c r="J38" s="732"/>
      <c r="K38" s="732"/>
      <c r="L38" s="732"/>
      <c r="M38" s="732"/>
      <c r="N38" s="733"/>
    </row>
    <row r="39" spans="3:14" x14ac:dyDescent="0.2">
      <c r="C39" s="731"/>
      <c r="D39" s="732"/>
      <c r="E39" s="732"/>
      <c r="F39" s="732"/>
      <c r="G39" s="732"/>
      <c r="H39" s="732"/>
      <c r="I39" s="732"/>
      <c r="J39" s="732"/>
      <c r="K39" s="732"/>
      <c r="L39" s="732"/>
      <c r="M39" s="732"/>
      <c r="N39" s="733"/>
    </row>
    <row r="40" spans="3:14" x14ac:dyDescent="0.2">
      <c r="C40" s="731"/>
      <c r="D40" s="732"/>
      <c r="E40" s="732"/>
      <c r="F40" s="732"/>
      <c r="G40" s="732"/>
      <c r="H40" s="732"/>
      <c r="I40" s="732"/>
      <c r="J40" s="732"/>
      <c r="K40" s="732"/>
      <c r="L40" s="732"/>
      <c r="M40" s="732"/>
      <c r="N40" s="733"/>
    </row>
    <row r="41" spans="3:14" x14ac:dyDescent="0.2">
      <c r="C41" s="731"/>
      <c r="D41" s="732"/>
      <c r="E41" s="732"/>
      <c r="F41" s="732"/>
      <c r="G41" s="732"/>
      <c r="H41" s="732"/>
      <c r="I41" s="732"/>
      <c r="J41" s="732"/>
      <c r="K41" s="732"/>
      <c r="L41" s="732"/>
      <c r="M41" s="732"/>
      <c r="N41" s="733"/>
    </row>
    <row r="42" spans="3:14" x14ac:dyDescent="0.2">
      <c r="C42" s="731"/>
      <c r="D42" s="732"/>
      <c r="E42" s="732"/>
      <c r="F42" s="732"/>
      <c r="G42" s="732"/>
      <c r="H42" s="732"/>
      <c r="I42" s="732"/>
      <c r="J42" s="732"/>
      <c r="K42" s="732"/>
      <c r="L42" s="732"/>
      <c r="M42" s="732"/>
      <c r="N42" s="733"/>
    </row>
    <row r="43" spans="3:14" x14ac:dyDescent="0.2">
      <c r="C43" s="731"/>
      <c r="D43" s="732"/>
      <c r="E43" s="732"/>
      <c r="F43" s="732"/>
      <c r="G43" s="732"/>
      <c r="H43" s="732"/>
      <c r="I43" s="732"/>
      <c r="J43" s="732"/>
      <c r="K43" s="732"/>
      <c r="L43" s="732"/>
      <c r="M43" s="732"/>
      <c r="N43" s="733"/>
    </row>
    <row r="44" spans="3:14" x14ac:dyDescent="0.2">
      <c r="C44" s="731"/>
      <c r="D44" s="732"/>
      <c r="E44" s="732"/>
      <c r="F44" s="732"/>
      <c r="G44" s="732"/>
      <c r="H44" s="732"/>
      <c r="I44" s="732"/>
      <c r="J44" s="732"/>
      <c r="K44" s="732"/>
      <c r="L44" s="732"/>
      <c r="M44" s="732"/>
      <c r="N44" s="733"/>
    </row>
    <row r="45" spans="3:14" x14ac:dyDescent="0.2">
      <c r="C45" s="731"/>
      <c r="D45" s="732"/>
      <c r="E45" s="732"/>
      <c r="F45" s="732"/>
      <c r="G45" s="732"/>
      <c r="H45" s="732"/>
      <c r="I45" s="732"/>
      <c r="J45" s="732"/>
      <c r="K45" s="732"/>
      <c r="L45" s="732"/>
      <c r="M45" s="732"/>
      <c r="N45" s="733"/>
    </row>
    <row r="46" spans="3:14" x14ac:dyDescent="0.2">
      <c r="C46" s="731"/>
      <c r="D46" s="732"/>
      <c r="E46" s="732"/>
      <c r="F46" s="732"/>
      <c r="G46" s="732"/>
      <c r="H46" s="732"/>
      <c r="I46" s="732"/>
      <c r="J46" s="732"/>
      <c r="K46" s="732"/>
      <c r="L46" s="732"/>
      <c r="M46" s="732"/>
      <c r="N46" s="733"/>
    </row>
    <row r="47" spans="3:14" x14ac:dyDescent="0.2">
      <c r="C47" s="731"/>
      <c r="D47" s="732"/>
      <c r="E47" s="732"/>
      <c r="F47" s="732"/>
      <c r="G47" s="732"/>
      <c r="H47" s="732"/>
      <c r="I47" s="732"/>
      <c r="J47" s="732"/>
      <c r="K47" s="732"/>
      <c r="L47" s="732"/>
      <c r="M47" s="732"/>
      <c r="N47" s="733"/>
    </row>
    <row r="48" spans="3:14" x14ac:dyDescent="0.2">
      <c r="C48" s="731"/>
      <c r="D48" s="732"/>
      <c r="E48" s="732"/>
      <c r="F48" s="732"/>
      <c r="G48" s="732"/>
      <c r="H48" s="732"/>
      <c r="I48" s="732"/>
      <c r="J48" s="732"/>
      <c r="K48" s="732"/>
      <c r="L48" s="732"/>
      <c r="M48" s="732"/>
      <c r="N48" s="733"/>
    </row>
    <row r="49" spans="3:14" x14ac:dyDescent="0.2">
      <c r="C49" s="734"/>
      <c r="D49" s="735"/>
      <c r="E49" s="735"/>
      <c r="F49" s="735"/>
      <c r="G49" s="735"/>
      <c r="H49" s="735"/>
      <c r="I49" s="735"/>
      <c r="J49" s="735"/>
      <c r="K49" s="735"/>
      <c r="L49" s="735"/>
      <c r="M49" s="735"/>
      <c r="N49" s="736"/>
    </row>
    <row r="53" spans="3:14" x14ac:dyDescent="0.2">
      <c r="C53" s="276" t="s">
        <v>190</v>
      </c>
    </row>
    <row r="54" spans="3:14" x14ac:dyDescent="0.2">
      <c r="D54" s="276"/>
    </row>
    <row r="55" spans="3:14" x14ac:dyDescent="0.2">
      <c r="D55" s="756" t="s">
        <v>207</v>
      </c>
      <c r="E55" s="756"/>
      <c r="F55" s="756"/>
      <c r="G55" s="756"/>
      <c r="H55" s="756"/>
      <c r="I55" s="756"/>
      <c r="J55" s="756"/>
      <c r="K55" s="756"/>
      <c r="L55" s="756"/>
      <c r="M55" s="756"/>
    </row>
    <row r="56" spans="3:14" ht="17.25" customHeight="1" x14ac:dyDescent="0.2">
      <c r="D56" s="756"/>
      <c r="E56" s="756"/>
      <c r="F56" s="756"/>
      <c r="G56" s="756"/>
      <c r="H56" s="756"/>
      <c r="I56" s="756"/>
      <c r="J56" s="756"/>
      <c r="K56" s="756"/>
      <c r="L56" s="756"/>
      <c r="M56" s="756"/>
    </row>
    <row r="59" spans="3:14" x14ac:dyDescent="0.2">
      <c r="E59" s="757" t="s">
        <v>218</v>
      </c>
      <c r="F59" s="758"/>
      <c r="G59" s="758"/>
      <c r="H59" s="758"/>
      <c r="I59" s="759"/>
    </row>
    <row r="61" spans="3:14" x14ac:dyDescent="0.2">
      <c r="E61" s="678" t="s">
        <v>226</v>
      </c>
      <c r="F61" s="679"/>
      <c r="G61" s="679"/>
      <c r="H61" s="679"/>
      <c r="I61" s="680"/>
    </row>
    <row r="63" spans="3:14" x14ac:dyDescent="0.2">
      <c r="E63" s="760" t="s">
        <v>365</v>
      </c>
      <c r="F63" s="761"/>
      <c r="G63" s="761"/>
      <c r="H63" s="761"/>
      <c r="I63" s="762"/>
    </row>
    <row r="65" spans="5:9" x14ac:dyDescent="0.2">
      <c r="E65" s="672" t="s">
        <v>366</v>
      </c>
      <c r="F65" s="673"/>
      <c r="G65" s="673"/>
      <c r="H65" s="673"/>
      <c r="I65" s="674"/>
    </row>
    <row r="67" spans="5:9" x14ac:dyDescent="0.2">
      <c r="E67" s="672" t="s">
        <v>367</v>
      </c>
      <c r="F67" s="673"/>
      <c r="G67" s="673"/>
      <c r="H67" s="673"/>
      <c r="I67" s="674"/>
    </row>
    <row r="69" spans="5:9" x14ac:dyDescent="0.2">
      <c r="E69" s="672" t="s">
        <v>368</v>
      </c>
      <c r="F69" s="673"/>
      <c r="G69" s="673"/>
      <c r="H69" s="673"/>
      <c r="I69" s="674"/>
    </row>
    <row r="71" spans="5:9" x14ac:dyDescent="0.2">
      <c r="E71" s="684" t="s">
        <v>191</v>
      </c>
      <c r="F71" s="685"/>
      <c r="G71" s="685"/>
      <c r="H71" s="685"/>
      <c r="I71" s="686"/>
    </row>
    <row r="73" spans="5:9" x14ac:dyDescent="0.2">
      <c r="E73" s="684" t="s">
        <v>192</v>
      </c>
      <c r="F73" s="685"/>
      <c r="G73" s="685"/>
      <c r="H73" s="685"/>
      <c r="I73" s="686"/>
    </row>
    <row r="75" spans="5:9" x14ac:dyDescent="0.2">
      <c r="E75" s="684" t="s">
        <v>193</v>
      </c>
      <c r="F75" s="685"/>
      <c r="G75" s="685"/>
      <c r="H75" s="685"/>
      <c r="I75" s="686"/>
    </row>
    <row r="77" spans="5:9" x14ac:dyDescent="0.2">
      <c r="E77" s="684" t="s">
        <v>194</v>
      </c>
      <c r="F77" s="685"/>
      <c r="G77" s="685"/>
      <c r="H77" s="685"/>
      <c r="I77" s="686"/>
    </row>
    <row r="79" spans="5:9" x14ac:dyDescent="0.2">
      <c r="E79" s="681" t="s">
        <v>195</v>
      </c>
      <c r="F79" s="682"/>
      <c r="G79" s="682"/>
      <c r="H79" s="682"/>
      <c r="I79" s="683"/>
    </row>
    <row r="81" spans="5:9" x14ac:dyDescent="0.2">
      <c r="E81" s="681" t="s">
        <v>196</v>
      </c>
      <c r="F81" s="682"/>
      <c r="G81" s="682"/>
      <c r="H81" s="682"/>
      <c r="I81" s="683"/>
    </row>
    <row r="83" spans="5:9" x14ac:dyDescent="0.2">
      <c r="E83" s="681" t="s">
        <v>197</v>
      </c>
      <c r="F83" s="682"/>
      <c r="G83" s="682"/>
      <c r="H83" s="682"/>
      <c r="I83" s="683"/>
    </row>
    <row r="85" spans="5:9" x14ac:dyDescent="0.2">
      <c r="E85" s="681" t="s">
        <v>198</v>
      </c>
      <c r="F85" s="682"/>
      <c r="G85" s="682"/>
      <c r="H85" s="682"/>
      <c r="I85" s="683"/>
    </row>
    <row r="87" spans="5:9" x14ac:dyDescent="0.2">
      <c r="E87" s="675" t="s">
        <v>398</v>
      </c>
      <c r="F87" s="676"/>
      <c r="G87" s="676"/>
      <c r="H87" s="676"/>
      <c r="I87" s="677"/>
    </row>
    <row r="89" spans="5:9" x14ac:dyDescent="0.2">
      <c r="E89" s="675" t="s">
        <v>399</v>
      </c>
      <c r="F89" s="676"/>
      <c r="G89" s="676"/>
      <c r="H89" s="676"/>
      <c r="I89" s="677"/>
    </row>
    <row r="91" spans="5:9" x14ac:dyDescent="0.2">
      <c r="E91" s="678" t="s">
        <v>223</v>
      </c>
      <c r="F91" s="679"/>
      <c r="G91" s="679"/>
      <c r="H91" s="679"/>
      <c r="I91" s="680"/>
    </row>
    <row r="98" spans="3:11" x14ac:dyDescent="0.2">
      <c r="C98" s="276" t="s">
        <v>188</v>
      </c>
    </row>
    <row r="100" spans="3:11" ht="15.75" customHeight="1" x14ac:dyDescent="0.2">
      <c r="C100" s="712" t="s">
        <v>445</v>
      </c>
      <c r="D100" s="712"/>
      <c r="E100" s="712"/>
      <c r="F100" s="712"/>
      <c r="G100" s="712"/>
      <c r="H100" s="712"/>
      <c r="I100" s="712"/>
      <c r="J100" s="712"/>
      <c r="K100" s="712"/>
    </row>
    <row r="101" spans="3:11" ht="12.75" customHeight="1" x14ac:dyDescent="0.2">
      <c r="C101" s="712"/>
      <c r="D101" s="712"/>
      <c r="E101" s="712"/>
      <c r="F101" s="712"/>
      <c r="G101" s="712"/>
      <c r="H101" s="712"/>
      <c r="I101" s="712"/>
      <c r="J101" s="712"/>
      <c r="K101" s="712"/>
    </row>
    <row r="102" spans="3:11" x14ac:dyDescent="0.2">
      <c r="C102" s="712"/>
      <c r="D102" s="712"/>
      <c r="E102" s="712"/>
      <c r="F102" s="712"/>
      <c r="G102" s="712"/>
      <c r="H102" s="712"/>
      <c r="I102" s="712"/>
      <c r="J102" s="712"/>
      <c r="K102" s="712"/>
    </row>
    <row r="104" spans="3:11" x14ac:dyDescent="0.2">
      <c r="C104" s="154"/>
      <c r="D104" s="155"/>
      <c r="E104" s="155"/>
      <c r="F104" s="155"/>
      <c r="G104" s="155"/>
      <c r="H104" s="155"/>
      <c r="I104" s="155"/>
      <c r="J104" s="155"/>
      <c r="K104" s="156"/>
    </row>
    <row r="105" spans="3:11" x14ac:dyDescent="0.2">
      <c r="C105" s="157"/>
      <c r="D105" s="710" t="s">
        <v>94</v>
      </c>
      <c r="E105" s="711"/>
      <c r="F105" s="163"/>
      <c r="G105" s="158" t="s">
        <v>404</v>
      </c>
      <c r="H105" s="163"/>
      <c r="I105" s="163"/>
      <c r="J105" s="163"/>
      <c r="K105" s="160"/>
    </row>
    <row r="106" spans="3:11" x14ac:dyDescent="0.2">
      <c r="C106" s="157"/>
      <c r="D106" s="161"/>
      <c r="F106" s="163"/>
      <c r="G106" s="162"/>
      <c r="H106" s="163"/>
      <c r="I106" s="163"/>
      <c r="J106" s="163"/>
      <c r="K106" s="160"/>
    </row>
    <row r="107" spans="3:11" x14ac:dyDescent="0.2">
      <c r="C107" s="157"/>
      <c r="D107" s="722" t="s">
        <v>95</v>
      </c>
      <c r="E107" s="723"/>
      <c r="F107" s="163"/>
      <c r="G107" s="158" t="s">
        <v>96</v>
      </c>
      <c r="H107" s="163"/>
      <c r="I107" s="163"/>
      <c r="J107" s="163"/>
      <c r="K107" s="160"/>
    </row>
    <row r="108" spans="3:11" x14ac:dyDescent="0.2">
      <c r="C108" s="157"/>
      <c r="D108" s="163"/>
      <c r="F108" s="163"/>
      <c r="G108" s="162"/>
      <c r="H108" s="163"/>
      <c r="I108" s="163"/>
      <c r="J108" s="163"/>
      <c r="K108" s="160"/>
    </row>
    <row r="109" spans="3:11" x14ac:dyDescent="0.2">
      <c r="C109" s="157"/>
      <c r="D109" s="724" t="s">
        <v>97</v>
      </c>
      <c r="E109" s="725"/>
      <c r="F109" s="163"/>
      <c r="G109" s="158" t="s">
        <v>98</v>
      </c>
      <c r="H109" s="163"/>
      <c r="I109" s="163"/>
      <c r="J109" s="163"/>
      <c r="K109" s="160"/>
    </row>
    <row r="110" spans="3:11" x14ac:dyDescent="0.2">
      <c r="C110" s="170"/>
      <c r="D110" s="167"/>
      <c r="F110" s="167"/>
      <c r="G110" s="167"/>
      <c r="H110" s="167"/>
      <c r="I110" s="167"/>
      <c r="J110" s="167"/>
      <c r="K110" s="171"/>
    </row>
    <row r="111" spans="3:11" x14ac:dyDescent="0.2">
      <c r="C111" s="170"/>
      <c r="D111" s="726" t="s">
        <v>148</v>
      </c>
      <c r="E111" s="727"/>
      <c r="F111" s="167"/>
      <c r="G111" s="158" t="s">
        <v>149</v>
      </c>
      <c r="H111" s="167"/>
      <c r="I111" s="167"/>
      <c r="J111" s="167"/>
      <c r="K111" s="171"/>
    </row>
    <row r="112" spans="3:11" x14ac:dyDescent="0.2">
      <c r="C112" s="170"/>
      <c r="D112" s="167"/>
      <c r="F112" s="167"/>
      <c r="G112" s="167"/>
      <c r="H112" s="167"/>
      <c r="I112" s="167"/>
      <c r="J112" s="167"/>
      <c r="K112" s="171"/>
    </row>
    <row r="113" spans="3:14" x14ac:dyDescent="0.2">
      <c r="C113" s="170"/>
      <c r="D113" s="740" t="s">
        <v>150</v>
      </c>
      <c r="E113" s="741"/>
      <c r="F113" s="167"/>
      <c r="G113" s="158" t="s">
        <v>151</v>
      </c>
      <c r="H113" s="167"/>
      <c r="I113" s="167"/>
      <c r="J113" s="167"/>
      <c r="K113" s="171"/>
    </row>
    <row r="114" spans="3:14" x14ac:dyDescent="0.2">
      <c r="C114" s="170"/>
      <c r="K114" s="171"/>
    </row>
    <row r="115" spans="3:14" x14ac:dyDescent="0.2">
      <c r="C115" s="170"/>
      <c r="D115" s="738" t="s">
        <v>431</v>
      </c>
      <c r="E115" s="739"/>
      <c r="G115" s="158" t="s">
        <v>444</v>
      </c>
      <c r="K115" s="171"/>
    </row>
    <row r="116" spans="3:14" x14ac:dyDescent="0.2">
      <c r="C116" s="164"/>
      <c r="D116" s="165"/>
      <c r="E116" s="165"/>
      <c r="F116" s="165"/>
      <c r="G116" s="165"/>
      <c r="H116" s="165"/>
      <c r="I116" s="165"/>
      <c r="J116" s="165"/>
      <c r="K116" s="166"/>
    </row>
    <row r="117" spans="3:14" x14ac:dyDescent="0.2">
      <c r="C117" s="163"/>
      <c r="D117" s="163"/>
      <c r="E117" s="163"/>
      <c r="F117" s="163"/>
      <c r="G117" s="163"/>
      <c r="H117" s="163"/>
      <c r="I117" s="163"/>
      <c r="J117" s="163"/>
      <c r="K117" s="163"/>
    </row>
    <row r="118" spans="3:14" x14ac:dyDescent="0.2">
      <c r="C118" s="163"/>
      <c r="D118" s="163"/>
      <c r="E118" s="163"/>
      <c r="F118" s="163"/>
      <c r="G118" s="163"/>
      <c r="H118" s="163"/>
      <c r="I118" s="163"/>
      <c r="J118" s="163"/>
      <c r="K118" s="163"/>
    </row>
    <row r="119" spans="3:14" x14ac:dyDescent="0.2">
      <c r="C119" s="163"/>
      <c r="D119" s="163"/>
      <c r="E119" s="163"/>
      <c r="F119" s="163"/>
      <c r="G119" s="163"/>
      <c r="H119" s="163"/>
      <c r="I119" s="163"/>
      <c r="J119" s="163"/>
      <c r="K119" s="163"/>
    </row>
    <row r="120" spans="3:14" x14ac:dyDescent="0.2">
      <c r="C120" s="276" t="s">
        <v>186</v>
      </c>
    </row>
    <row r="122" spans="3:14" x14ac:dyDescent="0.2">
      <c r="H122" s="159"/>
    </row>
    <row r="123" spans="3:14" ht="12.75" customHeight="1" x14ac:dyDescent="0.2">
      <c r="C123" s="713" t="s">
        <v>466</v>
      </c>
      <c r="D123" s="714"/>
      <c r="E123" s="714"/>
      <c r="F123" s="714"/>
      <c r="G123" s="714"/>
      <c r="H123" s="714"/>
      <c r="I123" s="714"/>
      <c r="J123" s="714"/>
      <c r="K123" s="714"/>
      <c r="L123" s="714"/>
      <c r="M123" s="714"/>
      <c r="N123" s="715"/>
    </row>
    <row r="124" spans="3:14" x14ac:dyDescent="0.2">
      <c r="C124" s="716"/>
      <c r="D124" s="717"/>
      <c r="E124" s="717"/>
      <c r="F124" s="717"/>
      <c r="G124" s="717"/>
      <c r="H124" s="717"/>
      <c r="I124" s="717"/>
      <c r="J124" s="717"/>
      <c r="K124" s="717"/>
      <c r="L124" s="717"/>
      <c r="M124" s="717"/>
      <c r="N124" s="718"/>
    </row>
    <row r="125" spans="3:14" x14ac:dyDescent="0.2">
      <c r="C125" s="716"/>
      <c r="D125" s="717"/>
      <c r="E125" s="717"/>
      <c r="F125" s="717"/>
      <c r="G125" s="717"/>
      <c r="H125" s="717"/>
      <c r="I125" s="717"/>
      <c r="J125" s="717"/>
      <c r="K125" s="717"/>
      <c r="L125" s="717"/>
      <c r="M125" s="717"/>
      <c r="N125" s="718"/>
    </row>
    <row r="126" spans="3:14" x14ac:dyDescent="0.2">
      <c r="C126" s="716"/>
      <c r="D126" s="717"/>
      <c r="E126" s="717"/>
      <c r="F126" s="717"/>
      <c r="G126" s="717"/>
      <c r="H126" s="717"/>
      <c r="I126" s="717"/>
      <c r="J126" s="717"/>
      <c r="K126" s="717"/>
      <c r="L126" s="717"/>
      <c r="M126" s="717"/>
      <c r="N126" s="718"/>
    </row>
    <row r="127" spans="3:14" x14ac:dyDescent="0.2">
      <c r="C127" s="716"/>
      <c r="D127" s="717"/>
      <c r="E127" s="717"/>
      <c r="F127" s="717"/>
      <c r="G127" s="717"/>
      <c r="H127" s="717"/>
      <c r="I127" s="717"/>
      <c r="J127" s="717"/>
      <c r="K127" s="717"/>
      <c r="L127" s="717"/>
      <c r="M127" s="717"/>
      <c r="N127" s="718"/>
    </row>
    <row r="128" spans="3:14" x14ac:dyDescent="0.2">
      <c r="C128" s="716"/>
      <c r="D128" s="717"/>
      <c r="E128" s="717"/>
      <c r="F128" s="717"/>
      <c r="G128" s="717"/>
      <c r="H128" s="717"/>
      <c r="I128" s="717"/>
      <c r="J128" s="717"/>
      <c r="K128" s="717"/>
      <c r="L128" s="717"/>
      <c r="M128" s="717"/>
      <c r="N128" s="718"/>
    </row>
    <row r="129" spans="3:14" x14ac:dyDescent="0.2">
      <c r="C129" s="716"/>
      <c r="D129" s="717"/>
      <c r="E129" s="717"/>
      <c r="F129" s="717"/>
      <c r="G129" s="717"/>
      <c r="H129" s="717"/>
      <c r="I129" s="717"/>
      <c r="J129" s="717"/>
      <c r="K129" s="717"/>
      <c r="L129" s="717"/>
      <c r="M129" s="717"/>
      <c r="N129" s="718"/>
    </row>
    <row r="130" spans="3:14" x14ac:dyDescent="0.2">
      <c r="C130" s="716"/>
      <c r="D130" s="717"/>
      <c r="E130" s="717"/>
      <c r="F130" s="717"/>
      <c r="G130" s="717"/>
      <c r="H130" s="717"/>
      <c r="I130" s="717"/>
      <c r="J130" s="717"/>
      <c r="K130" s="717"/>
      <c r="L130" s="717"/>
      <c r="M130" s="717"/>
      <c r="N130" s="718"/>
    </row>
    <row r="131" spans="3:14" x14ac:dyDescent="0.2">
      <c r="C131" s="716"/>
      <c r="D131" s="717"/>
      <c r="E131" s="717"/>
      <c r="F131" s="717"/>
      <c r="G131" s="717"/>
      <c r="H131" s="717"/>
      <c r="I131" s="717"/>
      <c r="J131" s="717"/>
      <c r="K131" s="717"/>
      <c r="L131" s="717"/>
      <c r="M131" s="717"/>
      <c r="N131" s="718"/>
    </row>
    <row r="132" spans="3:14" x14ac:dyDescent="0.2">
      <c r="C132" s="716"/>
      <c r="D132" s="717"/>
      <c r="E132" s="717"/>
      <c r="F132" s="717"/>
      <c r="G132" s="717"/>
      <c r="H132" s="717"/>
      <c r="I132" s="717"/>
      <c r="J132" s="717"/>
      <c r="K132" s="717"/>
      <c r="L132" s="717"/>
      <c r="M132" s="717"/>
      <c r="N132" s="718"/>
    </row>
    <row r="133" spans="3:14" x14ac:dyDescent="0.2">
      <c r="C133" s="716"/>
      <c r="D133" s="717"/>
      <c r="E133" s="717"/>
      <c r="F133" s="717"/>
      <c r="G133" s="717"/>
      <c r="H133" s="717"/>
      <c r="I133" s="717"/>
      <c r="J133" s="717"/>
      <c r="K133" s="717"/>
      <c r="L133" s="717"/>
      <c r="M133" s="717"/>
      <c r="N133" s="718"/>
    </row>
    <row r="134" spans="3:14" x14ac:dyDescent="0.2">
      <c r="C134" s="716"/>
      <c r="D134" s="717"/>
      <c r="E134" s="717"/>
      <c r="F134" s="717"/>
      <c r="G134" s="717"/>
      <c r="H134" s="717"/>
      <c r="I134" s="717"/>
      <c r="J134" s="717"/>
      <c r="K134" s="717"/>
      <c r="L134" s="717"/>
      <c r="M134" s="717"/>
      <c r="N134" s="718"/>
    </row>
    <row r="135" spans="3:14" x14ac:dyDescent="0.2">
      <c r="C135" s="716"/>
      <c r="D135" s="717"/>
      <c r="E135" s="717"/>
      <c r="F135" s="717"/>
      <c r="G135" s="717"/>
      <c r="H135" s="717"/>
      <c r="I135" s="717"/>
      <c r="J135" s="717"/>
      <c r="K135" s="717"/>
      <c r="L135" s="717"/>
      <c r="M135" s="717"/>
      <c r="N135" s="718"/>
    </row>
    <row r="136" spans="3:14" x14ac:dyDescent="0.2">
      <c r="C136" s="716"/>
      <c r="D136" s="717"/>
      <c r="E136" s="717"/>
      <c r="F136" s="717"/>
      <c r="G136" s="717"/>
      <c r="H136" s="717"/>
      <c r="I136" s="717"/>
      <c r="J136" s="717"/>
      <c r="K136" s="717"/>
      <c r="L136" s="717"/>
      <c r="M136" s="717"/>
      <c r="N136" s="718"/>
    </row>
    <row r="137" spans="3:14" x14ac:dyDescent="0.2">
      <c r="C137" s="716"/>
      <c r="D137" s="717"/>
      <c r="E137" s="717"/>
      <c r="F137" s="717"/>
      <c r="G137" s="717"/>
      <c r="H137" s="717"/>
      <c r="I137" s="717"/>
      <c r="J137" s="717"/>
      <c r="K137" s="717"/>
      <c r="L137" s="717"/>
      <c r="M137" s="717"/>
      <c r="N137" s="718"/>
    </row>
    <row r="138" spans="3:14" x14ac:dyDescent="0.2">
      <c r="C138" s="716"/>
      <c r="D138" s="717"/>
      <c r="E138" s="717"/>
      <c r="F138" s="717"/>
      <c r="G138" s="717"/>
      <c r="H138" s="717"/>
      <c r="I138" s="717"/>
      <c r="J138" s="717"/>
      <c r="K138" s="717"/>
      <c r="L138" s="717"/>
      <c r="M138" s="717"/>
      <c r="N138" s="718"/>
    </row>
    <row r="139" spans="3:14" x14ac:dyDescent="0.2">
      <c r="C139" s="716"/>
      <c r="D139" s="717"/>
      <c r="E139" s="717"/>
      <c r="F139" s="717"/>
      <c r="G139" s="717"/>
      <c r="H139" s="717"/>
      <c r="I139" s="717"/>
      <c r="J139" s="717"/>
      <c r="K139" s="717"/>
      <c r="L139" s="717"/>
      <c r="M139" s="717"/>
      <c r="N139" s="718"/>
    </row>
    <row r="140" spans="3:14" x14ac:dyDescent="0.2">
      <c r="C140" s="716"/>
      <c r="D140" s="717"/>
      <c r="E140" s="717"/>
      <c r="F140" s="717"/>
      <c r="G140" s="717"/>
      <c r="H140" s="717"/>
      <c r="I140" s="717"/>
      <c r="J140" s="717"/>
      <c r="K140" s="717"/>
      <c r="L140" s="717"/>
      <c r="M140" s="717"/>
      <c r="N140" s="718"/>
    </row>
    <row r="141" spans="3:14" x14ac:dyDescent="0.2">
      <c r="C141" s="716"/>
      <c r="D141" s="717"/>
      <c r="E141" s="717"/>
      <c r="F141" s="717"/>
      <c r="G141" s="717"/>
      <c r="H141" s="717"/>
      <c r="I141" s="717"/>
      <c r="J141" s="717"/>
      <c r="K141" s="717"/>
      <c r="L141" s="717"/>
      <c r="M141" s="717"/>
      <c r="N141" s="718"/>
    </row>
    <row r="142" spans="3:14" x14ac:dyDescent="0.2">
      <c r="C142" s="716"/>
      <c r="D142" s="717"/>
      <c r="E142" s="717"/>
      <c r="F142" s="717"/>
      <c r="G142" s="717"/>
      <c r="H142" s="717"/>
      <c r="I142" s="717"/>
      <c r="J142" s="717"/>
      <c r="K142" s="717"/>
      <c r="L142" s="717"/>
      <c r="M142" s="717"/>
      <c r="N142" s="718"/>
    </row>
    <row r="143" spans="3:14" x14ac:dyDescent="0.2">
      <c r="C143" s="716"/>
      <c r="D143" s="717"/>
      <c r="E143" s="717"/>
      <c r="F143" s="717"/>
      <c r="G143" s="717"/>
      <c r="H143" s="717"/>
      <c r="I143" s="717"/>
      <c r="J143" s="717"/>
      <c r="K143" s="717"/>
      <c r="L143" s="717"/>
      <c r="M143" s="717"/>
      <c r="N143" s="718"/>
    </row>
    <row r="144" spans="3:14" x14ac:dyDescent="0.2">
      <c r="C144" s="716"/>
      <c r="D144" s="717"/>
      <c r="E144" s="717"/>
      <c r="F144" s="717"/>
      <c r="G144" s="717"/>
      <c r="H144" s="717"/>
      <c r="I144" s="717"/>
      <c r="J144" s="717"/>
      <c r="K144" s="717"/>
      <c r="L144" s="717"/>
      <c r="M144" s="717"/>
      <c r="N144" s="718"/>
    </row>
    <row r="145" spans="3:14" x14ac:dyDescent="0.2">
      <c r="C145" s="716"/>
      <c r="D145" s="717"/>
      <c r="E145" s="717"/>
      <c r="F145" s="717"/>
      <c r="G145" s="717"/>
      <c r="H145" s="717"/>
      <c r="I145" s="717"/>
      <c r="J145" s="717"/>
      <c r="K145" s="717"/>
      <c r="L145" s="717"/>
      <c r="M145" s="717"/>
      <c r="N145" s="718"/>
    </row>
    <row r="146" spans="3:14" x14ac:dyDescent="0.2">
      <c r="C146" s="716"/>
      <c r="D146" s="717"/>
      <c r="E146" s="717"/>
      <c r="F146" s="717"/>
      <c r="G146" s="717"/>
      <c r="H146" s="717"/>
      <c r="I146" s="717"/>
      <c r="J146" s="717"/>
      <c r="K146" s="717"/>
      <c r="L146" s="717"/>
      <c r="M146" s="717"/>
      <c r="N146" s="718"/>
    </row>
    <row r="147" spans="3:14" x14ac:dyDescent="0.2">
      <c r="C147" s="716"/>
      <c r="D147" s="717"/>
      <c r="E147" s="717"/>
      <c r="F147" s="717"/>
      <c r="G147" s="717"/>
      <c r="H147" s="717"/>
      <c r="I147" s="717"/>
      <c r="J147" s="717"/>
      <c r="K147" s="717"/>
      <c r="L147" s="717"/>
      <c r="M147" s="717"/>
      <c r="N147" s="718"/>
    </row>
    <row r="148" spans="3:14" x14ac:dyDescent="0.2">
      <c r="C148" s="716"/>
      <c r="D148" s="717"/>
      <c r="E148" s="717"/>
      <c r="F148" s="717"/>
      <c r="G148" s="717"/>
      <c r="H148" s="717"/>
      <c r="I148" s="717"/>
      <c r="J148" s="717"/>
      <c r="K148" s="717"/>
      <c r="L148" s="717"/>
      <c r="M148" s="717"/>
      <c r="N148" s="718"/>
    </row>
    <row r="149" spans="3:14" x14ac:dyDescent="0.2">
      <c r="C149" s="716"/>
      <c r="D149" s="717"/>
      <c r="E149" s="717"/>
      <c r="F149" s="717"/>
      <c r="G149" s="717"/>
      <c r="H149" s="717"/>
      <c r="I149" s="717"/>
      <c r="J149" s="717"/>
      <c r="K149" s="717"/>
      <c r="L149" s="717"/>
      <c r="M149" s="717"/>
      <c r="N149" s="718"/>
    </row>
    <row r="150" spans="3:14" x14ac:dyDescent="0.2">
      <c r="C150" s="716"/>
      <c r="D150" s="717"/>
      <c r="E150" s="717"/>
      <c r="F150" s="717"/>
      <c r="G150" s="717"/>
      <c r="H150" s="717"/>
      <c r="I150" s="717"/>
      <c r="J150" s="717"/>
      <c r="K150" s="717"/>
      <c r="L150" s="717"/>
      <c r="M150" s="717"/>
      <c r="N150" s="718"/>
    </row>
    <row r="151" spans="3:14" x14ac:dyDescent="0.2">
      <c r="C151" s="716"/>
      <c r="D151" s="717"/>
      <c r="E151" s="717"/>
      <c r="F151" s="717"/>
      <c r="G151" s="717"/>
      <c r="H151" s="717"/>
      <c r="I151" s="717"/>
      <c r="J151" s="717"/>
      <c r="K151" s="717"/>
      <c r="L151" s="717"/>
      <c r="M151" s="717"/>
      <c r="N151" s="718"/>
    </row>
    <row r="152" spans="3:14" x14ac:dyDescent="0.2">
      <c r="C152" s="716"/>
      <c r="D152" s="717"/>
      <c r="E152" s="717"/>
      <c r="F152" s="717"/>
      <c r="G152" s="717"/>
      <c r="H152" s="717"/>
      <c r="I152" s="717"/>
      <c r="J152" s="717"/>
      <c r="K152" s="717"/>
      <c r="L152" s="717"/>
      <c r="M152" s="717"/>
      <c r="N152" s="718"/>
    </row>
    <row r="153" spans="3:14" x14ac:dyDescent="0.2">
      <c r="C153" s="716"/>
      <c r="D153" s="717"/>
      <c r="E153" s="717"/>
      <c r="F153" s="717"/>
      <c r="G153" s="717"/>
      <c r="H153" s="717"/>
      <c r="I153" s="717"/>
      <c r="J153" s="717"/>
      <c r="K153" s="717"/>
      <c r="L153" s="717"/>
      <c r="M153" s="717"/>
      <c r="N153" s="718"/>
    </row>
    <row r="154" spans="3:14" x14ac:dyDescent="0.2">
      <c r="C154" s="716"/>
      <c r="D154" s="717"/>
      <c r="E154" s="717"/>
      <c r="F154" s="717"/>
      <c r="G154" s="717"/>
      <c r="H154" s="717"/>
      <c r="I154" s="717"/>
      <c r="J154" s="717"/>
      <c r="K154" s="717"/>
      <c r="L154" s="717"/>
      <c r="M154" s="717"/>
      <c r="N154" s="718"/>
    </row>
    <row r="155" spans="3:14" x14ac:dyDescent="0.2">
      <c r="C155" s="716"/>
      <c r="D155" s="717"/>
      <c r="E155" s="717"/>
      <c r="F155" s="717"/>
      <c r="G155" s="717"/>
      <c r="H155" s="717"/>
      <c r="I155" s="717"/>
      <c r="J155" s="717"/>
      <c r="K155" s="717"/>
      <c r="L155" s="717"/>
      <c r="M155" s="717"/>
      <c r="N155" s="718"/>
    </row>
    <row r="156" spans="3:14" x14ac:dyDescent="0.2">
      <c r="C156" s="716"/>
      <c r="D156" s="717"/>
      <c r="E156" s="717"/>
      <c r="F156" s="717"/>
      <c r="G156" s="717"/>
      <c r="H156" s="717"/>
      <c r="I156" s="717"/>
      <c r="J156" s="717"/>
      <c r="K156" s="717"/>
      <c r="L156" s="717"/>
      <c r="M156" s="717"/>
      <c r="N156" s="718"/>
    </row>
    <row r="157" spans="3:14" x14ac:dyDescent="0.2">
      <c r="C157" s="716"/>
      <c r="D157" s="717"/>
      <c r="E157" s="717"/>
      <c r="F157" s="717"/>
      <c r="G157" s="717"/>
      <c r="H157" s="717"/>
      <c r="I157" s="717"/>
      <c r="J157" s="717"/>
      <c r="K157" s="717"/>
      <c r="L157" s="717"/>
      <c r="M157" s="717"/>
      <c r="N157" s="718"/>
    </row>
    <row r="158" spans="3:14" x14ac:dyDescent="0.2">
      <c r="C158" s="716"/>
      <c r="D158" s="717"/>
      <c r="E158" s="717"/>
      <c r="F158" s="717"/>
      <c r="G158" s="717"/>
      <c r="H158" s="717"/>
      <c r="I158" s="717"/>
      <c r="J158" s="717"/>
      <c r="K158" s="717"/>
      <c r="L158" s="717"/>
      <c r="M158" s="717"/>
      <c r="N158" s="718"/>
    </row>
    <row r="159" spans="3:14" x14ac:dyDescent="0.2">
      <c r="C159" s="716"/>
      <c r="D159" s="717"/>
      <c r="E159" s="717"/>
      <c r="F159" s="717"/>
      <c r="G159" s="717"/>
      <c r="H159" s="717"/>
      <c r="I159" s="717"/>
      <c r="J159" s="717"/>
      <c r="K159" s="717"/>
      <c r="L159" s="717"/>
      <c r="M159" s="717"/>
      <c r="N159" s="718"/>
    </row>
    <row r="160" spans="3:14" x14ac:dyDescent="0.2">
      <c r="C160" s="719"/>
      <c r="D160" s="720"/>
      <c r="E160" s="720"/>
      <c r="F160" s="720"/>
      <c r="G160" s="720"/>
      <c r="H160" s="720"/>
      <c r="I160" s="720"/>
      <c r="J160" s="720"/>
      <c r="K160" s="720"/>
      <c r="L160" s="720"/>
      <c r="M160" s="720"/>
      <c r="N160" s="721"/>
    </row>
    <row r="161" spans="3:14" x14ac:dyDescent="0.2">
      <c r="H161" s="159"/>
    </row>
    <row r="162" spans="3:14" x14ac:dyDescent="0.2">
      <c r="H162" s="159"/>
    </row>
    <row r="163" spans="3:14" x14ac:dyDescent="0.2">
      <c r="H163" s="159"/>
    </row>
    <row r="164" spans="3:14" x14ac:dyDescent="0.2">
      <c r="H164" s="159"/>
    </row>
    <row r="165" spans="3:14" ht="12.75" customHeight="1" x14ac:dyDescent="0.2">
      <c r="C165" s="713" t="s">
        <v>449</v>
      </c>
      <c r="D165" s="714"/>
      <c r="E165" s="714"/>
      <c r="F165" s="714"/>
      <c r="G165" s="714"/>
      <c r="H165" s="714"/>
      <c r="I165" s="714"/>
      <c r="J165" s="714"/>
      <c r="K165" s="714"/>
      <c r="L165" s="714"/>
      <c r="M165" s="714"/>
      <c r="N165" s="715"/>
    </row>
    <row r="166" spans="3:14" x14ac:dyDescent="0.2">
      <c r="C166" s="716"/>
      <c r="D166" s="717"/>
      <c r="E166" s="717"/>
      <c r="F166" s="717"/>
      <c r="G166" s="717"/>
      <c r="H166" s="717"/>
      <c r="I166" s="717"/>
      <c r="J166" s="717"/>
      <c r="K166" s="717"/>
      <c r="L166" s="717"/>
      <c r="M166" s="717"/>
      <c r="N166" s="718"/>
    </row>
    <row r="167" spans="3:14" x14ac:dyDescent="0.2">
      <c r="C167" s="716"/>
      <c r="D167" s="717"/>
      <c r="E167" s="717"/>
      <c r="F167" s="717"/>
      <c r="G167" s="717"/>
      <c r="H167" s="717"/>
      <c r="I167" s="717"/>
      <c r="J167" s="717"/>
      <c r="K167" s="717"/>
      <c r="L167" s="717"/>
      <c r="M167" s="717"/>
      <c r="N167" s="718"/>
    </row>
    <row r="168" spans="3:14" x14ac:dyDescent="0.2">
      <c r="C168" s="716"/>
      <c r="D168" s="717"/>
      <c r="E168" s="717"/>
      <c r="F168" s="717"/>
      <c r="G168" s="717"/>
      <c r="H168" s="717"/>
      <c r="I168" s="717"/>
      <c r="J168" s="717"/>
      <c r="K168" s="717"/>
      <c r="L168" s="717"/>
      <c r="M168" s="717"/>
      <c r="N168" s="718"/>
    </row>
    <row r="169" spans="3:14" x14ac:dyDescent="0.2">
      <c r="C169" s="716"/>
      <c r="D169" s="717"/>
      <c r="E169" s="717"/>
      <c r="F169" s="717"/>
      <c r="G169" s="717"/>
      <c r="H169" s="717"/>
      <c r="I169" s="717"/>
      <c r="J169" s="717"/>
      <c r="K169" s="717"/>
      <c r="L169" s="717"/>
      <c r="M169" s="717"/>
      <c r="N169" s="718"/>
    </row>
    <row r="170" spans="3:14" x14ac:dyDescent="0.2">
      <c r="C170" s="716"/>
      <c r="D170" s="717"/>
      <c r="E170" s="717"/>
      <c r="F170" s="717"/>
      <c r="G170" s="717"/>
      <c r="H170" s="717"/>
      <c r="I170" s="717"/>
      <c r="J170" s="717"/>
      <c r="K170" s="717"/>
      <c r="L170" s="717"/>
      <c r="M170" s="717"/>
      <c r="N170" s="718"/>
    </row>
    <row r="171" spans="3:14" x14ac:dyDescent="0.2">
      <c r="C171" s="716"/>
      <c r="D171" s="717"/>
      <c r="E171" s="717"/>
      <c r="F171" s="717"/>
      <c r="G171" s="717"/>
      <c r="H171" s="717"/>
      <c r="I171" s="717"/>
      <c r="J171" s="717"/>
      <c r="K171" s="717"/>
      <c r="L171" s="717"/>
      <c r="M171" s="717"/>
      <c r="N171" s="718"/>
    </row>
    <row r="172" spans="3:14" x14ac:dyDescent="0.2">
      <c r="C172" s="716"/>
      <c r="D172" s="717"/>
      <c r="E172" s="717"/>
      <c r="F172" s="717"/>
      <c r="G172" s="717"/>
      <c r="H172" s="717"/>
      <c r="I172" s="717"/>
      <c r="J172" s="717"/>
      <c r="K172" s="717"/>
      <c r="L172" s="717"/>
      <c r="M172" s="717"/>
      <c r="N172" s="718"/>
    </row>
    <row r="173" spans="3:14" x14ac:dyDescent="0.2">
      <c r="C173" s="716"/>
      <c r="D173" s="717"/>
      <c r="E173" s="717"/>
      <c r="F173" s="717"/>
      <c r="G173" s="717"/>
      <c r="H173" s="717"/>
      <c r="I173" s="717"/>
      <c r="J173" s="717"/>
      <c r="K173" s="717"/>
      <c r="L173" s="717"/>
      <c r="M173" s="717"/>
      <c r="N173" s="718"/>
    </row>
    <row r="174" spans="3:14" x14ac:dyDescent="0.2">
      <c r="C174" s="716"/>
      <c r="D174" s="717"/>
      <c r="E174" s="717"/>
      <c r="F174" s="717"/>
      <c r="G174" s="717"/>
      <c r="H174" s="717"/>
      <c r="I174" s="717"/>
      <c r="J174" s="717"/>
      <c r="K174" s="717"/>
      <c r="L174" s="717"/>
      <c r="M174" s="717"/>
      <c r="N174" s="718"/>
    </row>
    <row r="175" spans="3:14" x14ac:dyDescent="0.2">
      <c r="C175" s="716"/>
      <c r="D175" s="717"/>
      <c r="E175" s="717"/>
      <c r="F175" s="717"/>
      <c r="G175" s="717"/>
      <c r="H175" s="717"/>
      <c r="I175" s="717"/>
      <c r="J175" s="717"/>
      <c r="K175" s="717"/>
      <c r="L175" s="717"/>
      <c r="M175" s="717"/>
      <c r="N175" s="718"/>
    </row>
    <row r="176" spans="3:14" x14ac:dyDescent="0.2">
      <c r="C176" s="716"/>
      <c r="D176" s="717"/>
      <c r="E176" s="717"/>
      <c r="F176" s="717"/>
      <c r="G176" s="717"/>
      <c r="H176" s="717"/>
      <c r="I176" s="717"/>
      <c r="J176" s="717"/>
      <c r="K176" s="717"/>
      <c r="L176" s="717"/>
      <c r="M176" s="717"/>
      <c r="N176" s="718"/>
    </row>
    <row r="177" spans="3:14" x14ac:dyDescent="0.2">
      <c r="C177" s="716"/>
      <c r="D177" s="717"/>
      <c r="E177" s="717"/>
      <c r="F177" s="717"/>
      <c r="G177" s="717"/>
      <c r="H177" s="717"/>
      <c r="I177" s="717"/>
      <c r="J177" s="717"/>
      <c r="K177" s="717"/>
      <c r="L177" s="717"/>
      <c r="M177" s="717"/>
      <c r="N177" s="718"/>
    </row>
    <row r="178" spans="3:14" x14ac:dyDescent="0.2">
      <c r="C178" s="716"/>
      <c r="D178" s="717"/>
      <c r="E178" s="717"/>
      <c r="F178" s="717"/>
      <c r="G178" s="717"/>
      <c r="H178" s="717"/>
      <c r="I178" s="717"/>
      <c r="J178" s="717"/>
      <c r="K178" s="717"/>
      <c r="L178" s="717"/>
      <c r="M178" s="717"/>
      <c r="N178" s="718"/>
    </row>
    <row r="179" spans="3:14" x14ac:dyDescent="0.2">
      <c r="C179" s="716"/>
      <c r="D179" s="717"/>
      <c r="E179" s="717"/>
      <c r="F179" s="717"/>
      <c r="G179" s="717"/>
      <c r="H179" s="717"/>
      <c r="I179" s="717"/>
      <c r="J179" s="717"/>
      <c r="K179" s="717"/>
      <c r="L179" s="717"/>
      <c r="M179" s="717"/>
      <c r="N179" s="718"/>
    </row>
    <row r="180" spans="3:14" x14ac:dyDescent="0.2">
      <c r="C180" s="716"/>
      <c r="D180" s="717"/>
      <c r="E180" s="717"/>
      <c r="F180" s="717"/>
      <c r="G180" s="717"/>
      <c r="H180" s="717"/>
      <c r="I180" s="717"/>
      <c r="J180" s="717"/>
      <c r="K180" s="717"/>
      <c r="L180" s="717"/>
      <c r="M180" s="717"/>
      <c r="N180" s="718"/>
    </row>
    <row r="181" spans="3:14" x14ac:dyDescent="0.2">
      <c r="C181" s="716"/>
      <c r="D181" s="717"/>
      <c r="E181" s="717"/>
      <c r="F181" s="717"/>
      <c r="G181" s="717"/>
      <c r="H181" s="717"/>
      <c r="I181" s="717"/>
      <c r="J181" s="717"/>
      <c r="K181" s="717"/>
      <c r="L181" s="717"/>
      <c r="M181" s="717"/>
      <c r="N181" s="718"/>
    </row>
    <row r="182" spans="3:14" x14ac:dyDescent="0.2">
      <c r="C182" s="716"/>
      <c r="D182" s="717"/>
      <c r="E182" s="717"/>
      <c r="F182" s="717"/>
      <c r="G182" s="717"/>
      <c r="H182" s="717"/>
      <c r="I182" s="717"/>
      <c r="J182" s="717"/>
      <c r="K182" s="717"/>
      <c r="L182" s="717"/>
      <c r="M182" s="717"/>
      <c r="N182" s="718"/>
    </row>
    <row r="183" spans="3:14" x14ac:dyDescent="0.2">
      <c r="C183" s="716"/>
      <c r="D183" s="717"/>
      <c r="E183" s="717"/>
      <c r="F183" s="717"/>
      <c r="G183" s="717"/>
      <c r="H183" s="717"/>
      <c r="I183" s="717"/>
      <c r="J183" s="717"/>
      <c r="K183" s="717"/>
      <c r="L183" s="717"/>
      <c r="M183" s="717"/>
      <c r="N183" s="718"/>
    </row>
    <row r="184" spans="3:14" x14ac:dyDescent="0.2">
      <c r="C184" s="716"/>
      <c r="D184" s="717"/>
      <c r="E184" s="717"/>
      <c r="F184" s="717"/>
      <c r="G184" s="717"/>
      <c r="H184" s="717"/>
      <c r="I184" s="717"/>
      <c r="J184" s="717"/>
      <c r="K184" s="717"/>
      <c r="L184" s="717"/>
      <c r="M184" s="717"/>
      <c r="N184" s="718"/>
    </row>
    <row r="185" spans="3:14" x14ac:dyDescent="0.2">
      <c r="C185" s="716"/>
      <c r="D185" s="717"/>
      <c r="E185" s="717"/>
      <c r="F185" s="717"/>
      <c r="G185" s="717"/>
      <c r="H185" s="717"/>
      <c r="I185" s="717"/>
      <c r="J185" s="717"/>
      <c r="K185" s="717"/>
      <c r="L185" s="717"/>
      <c r="M185" s="717"/>
      <c r="N185" s="718"/>
    </row>
    <row r="186" spans="3:14" x14ac:dyDescent="0.2">
      <c r="C186" s="716"/>
      <c r="D186" s="717"/>
      <c r="E186" s="717"/>
      <c r="F186" s="717"/>
      <c r="G186" s="717"/>
      <c r="H186" s="717"/>
      <c r="I186" s="717"/>
      <c r="J186" s="717"/>
      <c r="K186" s="717"/>
      <c r="L186" s="717"/>
      <c r="M186" s="717"/>
      <c r="N186" s="718"/>
    </row>
    <row r="187" spans="3:14" x14ac:dyDescent="0.2">
      <c r="C187" s="716"/>
      <c r="D187" s="717"/>
      <c r="E187" s="717"/>
      <c r="F187" s="717"/>
      <c r="G187" s="717"/>
      <c r="H187" s="717"/>
      <c r="I187" s="717"/>
      <c r="J187" s="717"/>
      <c r="K187" s="717"/>
      <c r="L187" s="717"/>
      <c r="M187" s="717"/>
      <c r="N187" s="718"/>
    </row>
    <row r="188" spans="3:14" x14ac:dyDescent="0.2">
      <c r="C188" s="716"/>
      <c r="D188" s="717"/>
      <c r="E188" s="717"/>
      <c r="F188" s="717"/>
      <c r="G188" s="717"/>
      <c r="H188" s="717"/>
      <c r="I188" s="717"/>
      <c r="J188" s="717"/>
      <c r="K188" s="717"/>
      <c r="L188" s="717"/>
      <c r="M188" s="717"/>
      <c r="N188" s="718"/>
    </row>
    <row r="189" spans="3:14" x14ac:dyDescent="0.2">
      <c r="C189" s="716"/>
      <c r="D189" s="717"/>
      <c r="E189" s="717"/>
      <c r="F189" s="717"/>
      <c r="G189" s="717"/>
      <c r="H189" s="717"/>
      <c r="I189" s="717"/>
      <c r="J189" s="717"/>
      <c r="K189" s="717"/>
      <c r="L189" s="717"/>
      <c r="M189" s="717"/>
      <c r="N189" s="718"/>
    </row>
    <row r="190" spans="3:14" x14ac:dyDescent="0.2">
      <c r="C190" s="716"/>
      <c r="D190" s="717"/>
      <c r="E190" s="717"/>
      <c r="F190" s="717"/>
      <c r="G190" s="717"/>
      <c r="H190" s="717"/>
      <c r="I190" s="717"/>
      <c r="J190" s="717"/>
      <c r="K190" s="717"/>
      <c r="L190" s="717"/>
      <c r="M190" s="717"/>
      <c r="N190" s="718"/>
    </row>
    <row r="191" spans="3:14" x14ac:dyDescent="0.2">
      <c r="C191" s="719"/>
      <c r="D191" s="720"/>
      <c r="E191" s="720"/>
      <c r="F191" s="720"/>
      <c r="G191" s="720"/>
      <c r="H191" s="720"/>
      <c r="I191" s="720"/>
      <c r="J191" s="720"/>
      <c r="K191" s="720"/>
      <c r="L191" s="720"/>
      <c r="M191" s="720"/>
      <c r="N191" s="721"/>
    </row>
    <row r="194" spans="3:14" x14ac:dyDescent="0.2">
      <c r="C194" s="713" t="s">
        <v>450</v>
      </c>
      <c r="D194" s="714"/>
      <c r="E194" s="714"/>
      <c r="F194" s="714"/>
      <c r="G194" s="714"/>
      <c r="H194" s="714"/>
      <c r="I194" s="714"/>
      <c r="J194" s="714"/>
      <c r="K194" s="714"/>
      <c r="L194" s="714"/>
      <c r="M194" s="714"/>
      <c r="N194" s="715"/>
    </row>
    <row r="195" spans="3:14" x14ac:dyDescent="0.2">
      <c r="C195" s="716"/>
      <c r="D195" s="717"/>
      <c r="E195" s="717"/>
      <c r="F195" s="717"/>
      <c r="G195" s="717"/>
      <c r="H195" s="717"/>
      <c r="I195" s="717"/>
      <c r="J195" s="717"/>
      <c r="K195" s="717"/>
      <c r="L195" s="717"/>
      <c r="M195" s="717"/>
      <c r="N195" s="718"/>
    </row>
    <row r="196" spans="3:14" x14ac:dyDescent="0.2">
      <c r="C196" s="716"/>
      <c r="D196" s="717"/>
      <c r="E196" s="717"/>
      <c r="F196" s="717"/>
      <c r="G196" s="717"/>
      <c r="H196" s="717"/>
      <c r="I196" s="717"/>
      <c r="J196" s="717"/>
      <c r="K196" s="717"/>
      <c r="L196" s="717"/>
      <c r="M196" s="717"/>
      <c r="N196" s="718"/>
    </row>
    <row r="197" spans="3:14" x14ac:dyDescent="0.2">
      <c r="C197" s="716"/>
      <c r="D197" s="717"/>
      <c r="E197" s="717"/>
      <c r="F197" s="717"/>
      <c r="G197" s="717"/>
      <c r="H197" s="717"/>
      <c r="I197" s="717"/>
      <c r="J197" s="717"/>
      <c r="K197" s="717"/>
      <c r="L197" s="717"/>
      <c r="M197" s="717"/>
      <c r="N197" s="718"/>
    </row>
    <row r="198" spans="3:14" x14ac:dyDescent="0.2">
      <c r="C198" s="716"/>
      <c r="D198" s="717"/>
      <c r="E198" s="717"/>
      <c r="F198" s="717"/>
      <c r="G198" s="717"/>
      <c r="H198" s="717"/>
      <c r="I198" s="717"/>
      <c r="J198" s="717"/>
      <c r="K198" s="717"/>
      <c r="L198" s="717"/>
      <c r="M198" s="717"/>
      <c r="N198" s="718"/>
    </row>
    <row r="199" spans="3:14" x14ac:dyDescent="0.2">
      <c r="C199" s="716"/>
      <c r="D199" s="717"/>
      <c r="E199" s="717"/>
      <c r="F199" s="717"/>
      <c r="G199" s="717"/>
      <c r="H199" s="717"/>
      <c r="I199" s="717"/>
      <c r="J199" s="717"/>
      <c r="K199" s="717"/>
      <c r="L199" s="717"/>
      <c r="M199" s="717"/>
      <c r="N199" s="718"/>
    </row>
    <row r="200" spans="3:14" x14ac:dyDescent="0.2">
      <c r="C200" s="716"/>
      <c r="D200" s="717"/>
      <c r="E200" s="717"/>
      <c r="F200" s="717"/>
      <c r="G200" s="717"/>
      <c r="H200" s="717"/>
      <c r="I200" s="717"/>
      <c r="J200" s="717"/>
      <c r="K200" s="717"/>
      <c r="L200" s="717"/>
      <c r="M200" s="717"/>
      <c r="N200" s="718"/>
    </row>
    <row r="201" spans="3:14" x14ac:dyDescent="0.2">
      <c r="C201" s="716"/>
      <c r="D201" s="717"/>
      <c r="E201" s="717"/>
      <c r="F201" s="717"/>
      <c r="G201" s="717"/>
      <c r="H201" s="717"/>
      <c r="I201" s="717"/>
      <c r="J201" s="717"/>
      <c r="K201" s="717"/>
      <c r="L201" s="717"/>
      <c r="M201" s="717"/>
      <c r="N201" s="718"/>
    </row>
    <row r="202" spans="3:14" x14ac:dyDescent="0.2">
      <c r="C202" s="716"/>
      <c r="D202" s="717"/>
      <c r="E202" s="717"/>
      <c r="F202" s="717"/>
      <c r="G202" s="717"/>
      <c r="H202" s="717"/>
      <c r="I202" s="717"/>
      <c r="J202" s="717"/>
      <c r="K202" s="717"/>
      <c r="L202" s="717"/>
      <c r="M202" s="717"/>
      <c r="N202" s="718"/>
    </row>
    <row r="203" spans="3:14" x14ac:dyDescent="0.2">
      <c r="C203" s="716"/>
      <c r="D203" s="717"/>
      <c r="E203" s="717"/>
      <c r="F203" s="717"/>
      <c r="G203" s="717"/>
      <c r="H203" s="717"/>
      <c r="I203" s="717"/>
      <c r="J203" s="717"/>
      <c r="K203" s="717"/>
      <c r="L203" s="717"/>
      <c r="M203" s="717"/>
      <c r="N203" s="718"/>
    </row>
    <row r="204" spans="3:14" x14ac:dyDescent="0.2">
      <c r="C204" s="716"/>
      <c r="D204" s="717"/>
      <c r="E204" s="717"/>
      <c r="F204" s="717"/>
      <c r="G204" s="717"/>
      <c r="H204" s="717"/>
      <c r="I204" s="717"/>
      <c r="J204" s="717"/>
      <c r="K204" s="717"/>
      <c r="L204" s="717"/>
      <c r="M204" s="717"/>
      <c r="N204" s="718"/>
    </row>
    <row r="205" spans="3:14" x14ac:dyDescent="0.2">
      <c r="C205" s="716"/>
      <c r="D205" s="717"/>
      <c r="E205" s="717"/>
      <c r="F205" s="717"/>
      <c r="G205" s="717"/>
      <c r="H205" s="717"/>
      <c r="I205" s="717"/>
      <c r="J205" s="717"/>
      <c r="K205" s="717"/>
      <c r="L205" s="717"/>
      <c r="M205" s="717"/>
      <c r="N205" s="718"/>
    </row>
    <row r="206" spans="3:14" x14ac:dyDescent="0.2">
      <c r="C206" s="716"/>
      <c r="D206" s="717"/>
      <c r="E206" s="717"/>
      <c r="F206" s="717"/>
      <c r="G206" s="717"/>
      <c r="H206" s="717"/>
      <c r="I206" s="717"/>
      <c r="J206" s="717"/>
      <c r="K206" s="717"/>
      <c r="L206" s="717"/>
      <c r="M206" s="717"/>
      <c r="N206" s="718"/>
    </row>
    <row r="207" spans="3:14" x14ac:dyDescent="0.2">
      <c r="C207" s="716"/>
      <c r="D207" s="717"/>
      <c r="E207" s="717"/>
      <c r="F207" s="717"/>
      <c r="G207" s="717"/>
      <c r="H207" s="717"/>
      <c r="I207" s="717"/>
      <c r="J207" s="717"/>
      <c r="K207" s="717"/>
      <c r="L207" s="717"/>
      <c r="M207" s="717"/>
      <c r="N207" s="718"/>
    </row>
    <row r="208" spans="3:14" x14ac:dyDescent="0.2">
      <c r="C208" s="716"/>
      <c r="D208" s="717"/>
      <c r="E208" s="717"/>
      <c r="F208" s="717"/>
      <c r="G208" s="717"/>
      <c r="H208" s="717"/>
      <c r="I208" s="717"/>
      <c r="J208" s="717"/>
      <c r="K208" s="717"/>
      <c r="L208" s="717"/>
      <c r="M208" s="717"/>
      <c r="N208" s="718"/>
    </row>
    <row r="209" spans="2:26" x14ac:dyDescent="0.2">
      <c r="C209" s="716"/>
      <c r="D209" s="717"/>
      <c r="E209" s="717"/>
      <c r="F209" s="717"/>
      <c r="G209" s="717"/>
      <c r="H209" s="717"/>
      <c r="I209" s="717"/>
      <c r="J209" s="717"/>
      <c r="K209" s="717"/>
      <c r="L209" s="717"/>
      <c r="M209" s="717"/>
      <c r="N209" s="718"/>
    </row>
    <row r="210" spans="2:26" x14ac:dyDescent="0.2">
      <c r="C210" s="716"/>
      <c r="D210" s="717"/>
      <c r="E210" s="717"/>
      <c r="F210" s="717"/>
      <c r="G210" s="717"/>
      <c r="H210" s="717"/>
      <c r="I210" s="717"/>
      <c r="J210" s="717"/>
      <c r="K210" s="717"/>
      <c r="L210" s="717"/>
      <c r="M210" s="717"/>
      <c r="N210" s="718"/>
    </row>
    <row r="211" spans="2:26" x14ac:dyDescent="0.2">
      <c r="C211" s="716"/>
      <c r="D211" s="717"/>
      <c r="E211" s="717"/>
      <c r="F211" s="717"/>
      <c r="G211" s="717"/>
      <c r="H211" s="717"/>
      <c r="I211" s="717"/>
      <c r="J211" s="717"/>
      <c r="K211" s="717"/>
      <c r="L211" s="717"/>
      <c r="M211" s="717"/>
      <c r="N211" s="718"/>
    </row>
    <row r="212" spans="2:26" x14ac:dyDescent="0.2">
      <c r="C212" s="716"/>
      <c r="D212" s="717"/>
      <c r="E212" s="717"/>
      <c r="F212" s="717"/>
      <c r="G212" s="717"/>
      <c r="H212" s="717"/>
      <c r="I212" s="717"/>
      <c r="J212" s="717"/>
      <c r="K212" s="717"/>
      <c r="L212" s="717"/>
      <c r="M212" s="717"/>
      <c r="N212" s="718"/>
    </row>
    <row r="213" spans="2:26" x14ac:dyDescent="0.2">
      <c r="C213" s="716"/>
      <c r="D213" s="717"/>
      <c r="E213" s="717"/>
      <c r="F213" s="717"/>
      <c r="G213" s="717"/>
      <c r="H213" s="717"/>
      <c r="I213" s="717"/>
      <c r="J213" s="717"/>
      <c r="K213" s="717"/>
      <c r="L213" s="717"/>
      <c r="M213" s="717"/>
      <c r="N213" s="718"/>
    </row>
    <row r="214" spans="2:26" x14ac:dyDescent="0.2">
      <c r="C214" s="716"/>
      <c r="D214" s="717"/>
      <c r="E214" s="717"/>
      <c r="F214" s="717"/>
      <c r="G214" s="717"/>
      <c r="H214" s="717"/>
      <c r="I214" s="717"/>
      <c r="J214" s="717"/>
      <c r="K214" s="717"/>
      <c r="L214" s="717"/>
      <c r="M214" s="717"/>
      <c r="N214" s="718"/>
    </row>
    <row r="215" spans="2:26" ht="12.75" customHeight="1" x14ac:dyDescent="0.2">
      <c r="C215" s="719"/>
      <c r="D215" s="720"/>
      <c r="E215" s="720"/>
      <c r="F215" s="720"/>
      <c r="G215" s="720"/>
      <c r="H215" s="720"/>
      <c r="I215" s="720"/>
      <c r="J215" s="720"/>
      <c r="K215" s="720"/>
      <c r="L215" s="720"/>
      <c r="M215" s="720"/>
      <c r="N215" s="721"/>
    </row>
    <row r="216" spans="2:26" x14ac:dyDescent="0.2">
      <c r="C216" s="276"/>
    </row>
    <row r="217" spans="2:26" x14ac:dyDescent="0.2">
      <c r="C217" s="276"/>
    </row>
    <row r="218" spans="2:26" x14ac:dyDescent="0.2">
      <c r="C218" s="276"/>
    </row>
    <row r="219" spans="2:26" ht="16.5" customHeight="1" x14ac:dyDescent="0.2">
      <c r="B219" s="167"/>
      <c r="C219" s="737" t="s">
        <v>451</v>
      </c>
      <c r="D219" s="729"/>
      <c r="E219" s="729"/>
      <c r="F219" s="729"/>
      <c r="G219" s="729"/>
      <c r="H219" s="729"/>
      <c r="I219" s="729"/>
      <c r="J219" s="729"/>
      <c r="K219" s="729"/>
      <c r="L219" s="729"/>
      <c r="M219" s="729"/>
      <c r="N219" s="730"/>
      <c r="O219" s="167"/>
      <c r="P219" s="167"/>
      <c r="Q219" s="167"/>
      <c r="R219" s="167"/>
      <c r="S219" s="167"/>
      <c r="T219" s="167"/>
      <c r="U219" s="167"/>
      <c r="V219" s="167"/>
      <c r="W219" s="167"/>
      <c r="X219" s="167"/>
      <c r="Y219" s="167"/>
      <c r="Z219" s="167"/>
    </row>
    <row r="220" spans="2:26" ht="13.5" customHeight="1" x14ac:dyDescent="0.2">
      <c r="B220" s="167"/>
      <c r="C220" s="731"/>
      <c r="D220" s="732"/>
      <c r="E220" s="732"/>
      <c r="F220" s="732"/>
      <c r="G220" s="732"/>
      <c r="H220" s="732"/>
      <c r="I220" s="732"/>
      <c r="J220" s="732"/>
      <c r="K220" s="732"/>
      <c r="L220" s="732"/>
      <c r="M220" s="732"/>
      <c r="N220" s="733"/>
      <c r="O220" s="167"/>
      <c r="P220" s="167"/>
      <c r="Q220" s="167"/>
      <c r="R220" s="167"/>
      <c r="S220" s="167"/>
      <c r="T220" s="167"/>
      <c r="U220" s="167"/>
      <c r="V220" s="167"/>
      <c r="W220" s="167"/>
      <c r="X220" s="167"/>
      <c r="Y220" s="167"/>
      <c r="Z220" s="167"/>
    </row>
    <row r="221" spans="2:26" ht="13.5" customHeight="1" x14ac:dyDescent="0.2">
      <c r="B221" s="167"/>
      <c r="C221" s="731"/>
      <c r="D221" s="732"/>
      <c r="E221" s="732"/>
      <c r="F221" s="732"/>
      <c r="G221" s="732"/>
      <c r="H221" s="732"/>
      <c r="I221" s="732"/>
      <c r="J221" s="732"/>
      <c r="K221" s="732"/>
      <c r="L221" s="732"/>
      <c r="M221" s="732"/>
      <c r="N221" s="733"/>
      <c r="O221" s="167"/>
      <c r="P221" s="167"/>
      <c r="Q221" s="167"/>
      <c r="R221" s="167"/>
      <c r="S221" s="167"/>
      <c r="T221" s="167"/>
      <c r="U221" s="167"/>
      <c r="V221" s="167"/>
      <c r="W221" s="167"/>
      <c r="X221" s="167"/>
      <c r="Y221" s="167"/>
      <c r="Z221" s="167"/>
    </row>
    <row r="222" spans="2:26" ht="13.5" customHeight="1" x14ac:dyDescent="0.2">
      <c r="B222" s="167"/>
      <c r="C222" s="731"/>
      <c r="D222" s="732"/>
      <c r="E222" s="732"/>
      <c r="F222" s="732"/>
      <c r="G222" s="732"/>
      <c r="H222" s="732"/>
      <c r="I222" s="732"/>
      <c r="J222" s="732"/>
      <c r="K222" s="732"/>
      <c r="L222" s="732"/>
      <c r="M222" s="732"/>
      <c r="N222" s="733"/>
      <c r="O222" s="167"/>
      <c r="P222" s="167"/>
      <c r="Q222" s="167"/>
      <c r="R222" s="167"/>
      <c r="S222" s="167"/>
      <c r="T222" s="167"/>
      <c r="U222" s="167"/>
      <c r="V222" s="167"/>
      <c r="W222" s="167"/>
      <c r="X222" s="167"/>
      <c r="Y222" s="167"/>
      <c r="Z222" s="167"/>
    </row>
    <row r="223" spans="2:26" ht="13.5" customHeight="1" x14ac:dyDescent="0.2">
      <c r="B223" s="167"/>
      <c r="C223" s="731"/>
      <c r="D223" s="732"/>
      <c r="E223" s="732"/>
      <c r="F223" s="732"/>
      <c r="G223" s="732"/>
      <c r="H223" s="732"/>
      <c r="I223" s="732"/>
      <c r="J223" s="732"/>
      <c r="K223" s="732"/>
      <c r="L223" s="732"/>
      <c r="M223" s="732"/>
      <c r="N223" s="733"/>
      <c r="O223" s="167"/>
      <c r="P223" s="167"/>
      <c r="Q223" s="167"/>
      <c r="R223" s="167"/>
      <c r="S223" s="167"/>
      <c r="T223" s="167"/>
      <c r="U223" s="167"/>
      <c r="V223" s="167"/>
      <c r="W223" s="167"/>
      <c r="X223" s="167"/>
      <c r="Y223" s="167"/>
      <c r="Z223" s="167"/>
    </row>
    <row r="224" spans="2:26" ht="13.5" customHeight="1" x14ac:dyDescent="0.2">
      <c r="C224" s="731"/>
      <c r="D224" s="732"/>
      <c r="E224" s="732"/>
      <c r="F224" s="732"/>
      <c r="G224" s="732"/>
      <c r="H224" s="732"/>
      <c r="I224" s="732"/>
      <c r="J224" s="732"/>
      <c r="K224" s="732"/>
      <c r="L224" s="732"/>
      <c r="M224" s="732"/>
      <c r="N224" s="733"/>
    </row>
    <row r="225" spans="3:14" ht="13.5" customHeight="1" x14ac:dyDescent="0.2">
      <c r="C225" s="731"/>
      <c r="D225" s="732"/>
      <c r="E225" s="732"/>
      <c r="F225" s="732"/>
      <c r="G225" s="732"/>
      <c r="H225" s="732"/>
      <c r="I225" s="732"/>
      <c r="J225" s="732"/>
      <c r="K225" s="732"/>
      <c r="L225" s="732"/>
      <c r="M225" s="732"/>
      <c r="N225" s="733"/>
    </row>
    <row r="226" spans="3:14" ht="13.5" customHeight="1" x14ac:dyDescent="0.2">
      <c r="C226" s="731"/>
      <c r="D226" s="732"/>
      <c r="E226" s="732"/>
      <c r="F226" s="732"/>
      <c r="G226" s="732"/>
      <c r="H226" s="732"/>
      <c r="I226" s="732"/>
      <c r="J226" s="732"/>
      <c r="K226" s="732"/>
      <c r="L226" s="732"/>
      <c r="M226" s="732"/>
      <c r="N226" s="733"/>
    </row>
    <row r="227" spans="3:14" ht="13.5" customHeight="1" x14ac:dyDescent="0.2">
      <c r="C227" s="731"/>
      <c r="D227" s="732"/>
      <c r="E227" s="732"/>
      <c r="F227" s="732"/>
      <c r="G227" s="732"/>
      <c r="H227" s="732"/>
      <c r="I227" s="732"/>
      <c r="J227" s="732"/>
      <c r="K227" s="732"/>
      <c r="L227" s="732"/>
      <c r="M227" s="732"/>
      <c r="N227" s="733"/>
    </row>
    <row r="228" spans="3:14" ht="13.5" customHeight="1" x14ac:dyDescent="0.2">
      <c r="C228" s="731"/>
      <c r="D228" s="732"/>
      <c r="E228" s="732"/>
      <c r="F228" s="732"/>
      <c r="G228" s="732"/>
      <c r="H228" s="732"/>
      <c r="I228" s="732"/>
      <c r="J228" s="732"/>
      <c r="K228" s="732"/>
      <c r="L228" s="732"/>
      <c r="M228" s="732"/>
      <c r="N228" s="733"/>
    </row>
    <row r="229" spans="3:14" ht="13.5" customHeight="1" x14ac:dyDescent="0.2">
      <c r="C229" s="731"/>
      <c r="D229" s="732"/>
      <c r="E229" s="732"/>
      <c r="F229" s="732"/>
      <c r="G229" s="732"/>
      <c r="H229" s="732"/>
      <c r="I229" s="732"/>
      <c r="J229" s="732"/>
      <c r="K229" s="732"/>
      <c r="L229" s="732"/>
      <c r="M229" s="732"/>
      <c r="N229" s="733"/>
    </row>
    <row r="230" spans="3:14" ht="13.5" customHeight="1" x14ac:dyDescent="0.2">
      <c r="C230" s="731"/>
      <c r="D230" s="732"/>
      <c r="E230" s="732"/>
      <c r="F230" s="732"/>
      <c r="G230" s="732"/>
      <c r="H230" s="732"/>
      <c r="I230" s="732"/>
      <c r="J230" s="732"/>
      <c r="K230" s="732"/>
      <c r="L230" s="732"/>
      <c r="M230" s="732"/>
      <c r="N230" s="733"/>
    </row>
    <row r="231" spans="3:14" ht="13.5" customHeight="1" x14ac:dyDescent="0.2">
      <c r="C231" s="731"/>
      <c r="D231" s="732"/>
      <c r="E231" s="732"/>
      <c r="F231" s="732"/>
      <c r="G231" s="732"/>
      <c r="H231" s="732"/>
      <c r="I231" s="732"/>
      <c r="J231" s="732"/>
      <c r="K231" s="732"/>
      <c r="L231" s="732"/>
      <c r="M231" s="732"/>
      <c r="N231" s="733"/>
    </row>
    <row r="232" spans="3:14" ht="13.5" customHeight="1" x14ac:dyDescent="0.2">
      <c r="C232" s="731"/>
      <c r="D232" s="732"/>
      <c r="E232" s="732"/>
      <c r="F232" s="732"/>
      <c r="G232" s="732"/>
      <c r="H232" s="732"/>
      <c r="I232" s="732"/>
      <c r="J232" s="732"/>
      <c r="K232" s="732"/>
      <c r="L232" s="732"/>
      <c r="M232" s="732"/>
      <c r="N232" s="733"/>
    </row>
    <row r="233" spans="3:14" ht="13.5" customHeight="1" x14ac:dyDescent="0.2">
      <c r="C233" s="731"/>
      <c r="D233" s="732"/>
      <c r="E233" s="732"/>
      <c r="F233" s="732"/>
      <c r="G233" s="732"/>
      <c r="H233" s="732"/>
      <c r="I233" s="732"/>
      <c r="J233" s="732"/>
      <c r="K233" s="732"/>
      <c r="L233" s="732"/>
      <c r="M233" s="732"/>
      <c r="N233" s="733"/>
    </row>
    <row r="234" spans="3:14" ht="13.5" customHeight="1" x14ac:dyDescent="0.2">
      <c r="C234" s="731"/>
      <c r="D234" s="732"/>
      <c r="E234" s="732"/>
      <c r="F234" s="732"/>
      <c r="G234" s="732"/>
      <c r="H234" s="732"/>
      <c r="I234" s="732"/>
      <c r="J234" s="732"/>
      <c r="K234" s="732"/>
      <c r="L234" s="732"/>
      <c r="M234" s="732"/>
      <c r="N234" s="733"/>
    </row>
    <row r="235" spans="3:14" ht="13.5" customHeight="1" x14ac:dyDescent="0.2">
      <c r="C235" s="731"/>
      <c r="D235" s="732"/>
      <c r="E235" s="732"/>
      <c r="F235" s="732"/>
      <c r="G235" s="732"/>
      <c r="H235" s="732"/>
      <c r="I235" s="732"/>
      <c r="J235" s="732"/>
      <c r="K235" s="732"/>
      <c r="L235" s="732"/>
      <c r="M235" s="732"/>
      <c r="N235" s="733"/>
    </row>
    <row r="236" spans="3:14" ht="13.5" customHeight="1" x14ac:dyDescent="0.2">
      <c r="C236" s="731"/>
      <c r="D236" s="732"/>
      <c r="E236" s="732"/>
      <c r="F236" s="732"/>
      <c r="G236" s="732"/>
      <c r="H236" s="732"/>
      <c r="I236" s="732"/>
      <c r="J236" s="732"/>
      <c r="K236" s="732"/>
      <c r="L236" s="732"/>
      <c r="M236" s="732"/>
      <c r="N236" s="733"/>
    </row>
    <row r="237" spans="3:14" ht="13.5" customHeight="1" x14ac:dyDescent="0.2">
      <c r="C237" s="731"/>
      <c r="D237" s="732"/>
      <c r="E237" s="732"/>
      <c r="F237" s="732"/>
      <c r="G237" s="732"/>
      <c r="H237" s="732"/>
      <c r="I237" s="732"/>
      <c r="J237" s="732"/>
      <c r="K237" s="732"/>
      <c r="L237" s="732"/>
      <c r="M237" s="732"/>
      <c r="N237" s="733"/>
    </row>
    <row r="238" spans="3:14" ht="13.5" customHeight="1" x14ac:dyDescent="0.2">
      <c r="C238" s="731"/>
      <c r="D238" s="732"/>
      <c r="E238" s="732"/>
      <c r="F238" s="732"/>
      <c r="G238" s="732"/>
      <c r="H238" s="732"/>
      <c r="I238" s="732"/>
      <c r="J238" s="732"/>
      <c r="K238" s="732"/>
      <c r="L238" s="732"/>
      <c r="M238" s="732"/>
      <c r="N238" s="733"/>
    </row>
    <row r="239" spans="3:14" ht="13.5" customHeight="1" x14ac:dyDescent="0.2">
      <c r="C239" s="731"/>
      <c r="D239" s="732"/>
      <c r="E239" s="732"/>
      <c r="F239" s="732"/>
      <c r="G239" s="732"/>
      <c r="H239" s="732"/>
      <c r="I239" s="732"/>
      <c r="J239" s="732"/>
      <c r="K239" s="732"/>
      <c r="L239" s="732"/>
      <c r="M239" s="732"/>
      <c r="N239" s="733"/>
    </row>
    <row r="240" spans="3:14" ht="13.5" customHeight="1" x14ac:dyDescent="0.2">
      <c r="C240" s="731"/>
      <c r="D240" s="732"/>
      <c r="E240" s="732"/>
      <c r="F240" s="732"/>
      <c r="G240" s="732"/>
      <c r="H240" s="732"/>
      <c r="I240" s="732"/>
      <c r="J240" s="732"/>
      <c r="K240" s="732"/>
      <c r="L240" s="732"/>
      <c r="M240" s="732"/>
      <c r="N240" s="733"/>
    </row>
    <row r="241" spans="3:14" ht="13.5" customHeight="1" x14ac:dyDescent="0.2">
      <c r="C241" s="731"/>
      <c r="D241" s="732"/>
      <c r="E241" s="732"/>
      <c r="F241" s="732"/>
      <c r="G241" s="732"/>
      <c r="H241" s="732"/>
      <c r="I241" s="732"/>
      <c r="J241" s="732"/>
      <c r="K241" s="732"/>
      <c r="L241" s="732"/>
      <c r="M241" s="732"/>
      <c r="N241" s="733"/>
    </row>
    <row r="242" spans="3:14" ht="13.5" customHeight="1" x14ac:dyDescent="0.2">
      <c r="C242" s="731"/>
      <c r="D242" s="732"/>
      <c r="E242" s="732"/>
      <c r="F242" s="732"/>
      <c r="G242" s="732"/>
      <c r="H242" s="732"/>
      <c r="I242" s="732"/>
      <c r="J242" s="732"/>
      <c r="K242" s="732"/>
      <c r="L242" s="732"/>
      <c r="M242" s="732"/>
      <c r="N242" s="733"/>
    </row>
    <row r="243" spans="3:14" ht="13.5" customHeight="1" x14ac:dyDescent="0.2">
      <c r="C243" s="731"/>
      <c r="D243" s="732"/>
      <c r="E243" s="732"/>
      <c r="F243" s="732"/>
      <c r="G243" s="732"/>
      <c r="H243" s="732"/>
      <c r="I243" s="732"/>
      <c r="J243" s="732"/>
      <c r="K243" s="732"/>
      <c r="L243" s="732"/>
      <c r="M243" s="732"/>
      <c r="N243" s="733"/>
    </row>
    <row r="244" spans="3:14" ht="13.5" customHeight="1" x14ac:dyDescent="0.2">
      <c r="C244" s="731"/>
      <c r="D244" s="732"/>
      <c r="E244" s="732"/>
      <c r="F244" s="732"/>
      <c r="G244" s="732"/>
      <c r="H244" s="732"/>
      <c r="I244" s="732"/>
      <c r="J244" s="732"/>
      <c r="K244" s="732"/>
      <c r="L244" s="732"/>
      <c r="M244" s="732"/>
      <c r="N244" s="733"/>
    </row>
    <row r="245" spans="3:14" ht="13.5" customHeight="1" x14ac:dyDescent="0.2">
      <c r="C245" s="731"/>
      <c r="D245" s="732"/>
      <c r="E245" s="732"/>
      <c r="F245" s="732"/>
      <c r="G245" s="732"/>
      <c r="H245" s="732"/>
      <c r="I245" s="732"/>
      <c r="J245" s="732"/>
      <c r="K245" s="732"/>
      <c r="L245" s="732"/>
      <c r="M245" s="732"/>
      <c r="N245" s="733"/>
    </row>
    <row r="246" spans="3:14" ht="13.5" customHeight="1" x14ac:dyDescent="0.2">
      <c r="C246" s="731"/>
      <c r="D246" s="732"/>
      <c r="E246" s="732"/>
      <c r="F246" s="732"/>
      <c r="G246" s="732"/>
      <c r="H246" s="732"/>
      <c r="I246" s="732"/>
      <c r="J246" s="732"/>
      <c r="K246" s="732"/>
      <c r="L246" s="732"/>
      <c r="M246" s="732"/>
      <c r="N246" s="733"/>
    </row>
    <row r="247" spans="3:14" ht="13.5" customHeight="1" x14ac:dyDescent="0.2">
      <c r="C247" s="731"/>
      <c r="D247" s="732"/>
      <c r="E247" s="732"/>
      <c r="F247" s="732"/>
      <c r="G247" s="732"/>
      <c r="H247" s="732"/>
      <c r="I247" s="732"/>
      <c r="J247" s="732"/>
      <c r="K247" s="732"/>
      <c r="L247" s="732"/>
      <c r="M247" s="732"/>
      <c r="N247" s="733"/>
    </row>
    <row r="248" spans="3:14" ht="13.5" customHeight="1" x14ac:dyDescent="0.2">
      <c r="C248" s="731"/>
      <c r="D248" s="732"/>
      <c r="E248" s="732"/>
      <c r="F248" s="732"/>
      <c r="G248" s="732"/>
      <c r="H248" s="732"/>
      <c r="I248" s="732"/>
      <c r="J248" s="732"/>
      <c r="K248" s="732"/>
      <c r="L248" s="732"/>
      <c r="M248" s="732"/>
      <c r="N248" s="733"/>
    </row>
    <row r="249" spans="3:14" ht="13.5" customHeight="1" x14ac:dyDescent="0.2">
      <c r="C249" s="731"/>
      <c r="D249" s="732"/>
      <c r="E249" s="732"/>
      <c r="F249" s="732"/>
      <c r="G249" s="732"/>
      <c r="H249" s="732"/>
      <c r="I249" s="732"/>
      <c r="J249" s="732"/>
      <c r="K249" s="732"/>
      <c r="L249" s="732"/>
      <c r="M249" s="732"/>
      <c r="N249" s="733"/>
    </row>
    <row r="250" spans="3:14" ht="13.5" customHeight="1" x14ac:dyDescent="0.2">
      <c r="C250" s="731"/>
      <c r="D250" s="732"/>
      <c r="E250" s="732"/>
      <c r="F250" s="732"/>
      <c r="G250" s="732"/>
      <c r="H250" s="732"/>
      <c r="I250" s="732"/>
      <c r="J250" s="732"/>
      <c r="K250" s="732"/>
      <c r="L250" s="732"/>
      <c r="M250" s="732"/>
      <c r="N250" s="733"/>
    </row>
    <row r="251" spans="3:14" ht="13.5" customHeight="1" x14ac:dyDescent="0.2">
      <c r="C251" s="731"/>
      <c r="D251" s="732"/>
      <c r="E251" s="732"/>
      <c r="F251" s="732"/>
      <c r="G251" s="732"/>
      <c r="H251" s="732"/>
      <c r="I251" s="732"/>
      <c r="J251" s="732"/>
      <c r="K251" s="732"/>
      <c r="L251" s="732"/>
      <c r="M251" s="732"/>
      <c r="N251" s="733"/>
    </row>
    <row r="252" spans="3:14" ht="13.5" customHeight="1" x14ac:dyDescent="0.2">
      <c r="C252" s="731"/>
      <c r="D252" s="732"/>
      <c r="E252" s="732"/>
      <c r="F252" s="732"/>
      <c r="G252" s="732"/>
      <c r="H252" s="732"/>
      <c r="I252" s="732"/>
      <c r="J252" s="732"/>
      <c r="K252" s="732"/>
      <c r="L252" s="732"/>
      <c r="M252" s="732"/>
      <c r="N252" s="733"/>
    </row>
    <row r="253" spans="3:14" ht="13.5" customHeight="1" x14ac:dyDescent="0.2">
      <c r="C253" s="731"/>
      <c r="D253" s="732"/>
      <c r="E253" s="732"/>
      <c r="F253" s="732"/>
      <c r="G253" s="732"/>
      <c r="H253" s="732"/>
      <c r="I253" s="732"/>
      <c r="J253" s="732"/>
      <c r="K253" s="732"/>
      <c r="L253" s="732"/>
      <c r="M253" s="732"/>
      <c r="N253" s="733"/>
    </row>
    <row r="254" spans="3:14" ht="13.5" customHeight="1" x14ac:dyDescent="0.2">
      <c r="C254" s="731"/>
      <c r="D254" s="732"/>
      <c r="E254" s="732"/>
      <c r="F254" s="732"/>
      <c r="G254" s="732"/>
      <c r="H254" s="732"/>
      <c r="I254" s="732"/>
      <c r="J254" s="732"/>
      <c r="K254" s="732"/>
      <c r="L254" s="732"/>
      <c r="M254" s="732"/>
      <c r="N254" s="733"/>
    </row>
    <row r="255" spans="3:14" ht="13.5" customHeight="1" x14ac:dyDescent="0.2">
      <c r="C255" s="734"/>
      <c r="D255" s="735"/>
      <c r="E255" s="735"/>
      <c r="F255" s="735"/>
      <c r="G255" s="735"/>
      <c r="H255" s="735"/>
      <c r="I255" s="735"/>
      <c r="J255" s="735"/>
      <c r="K255" s="735"/>
      <c r="L255" s="735"/>
      <c r="M255" s="735"/>
      <c r="N255" s="736"/>
    </row>
    <row r="256" spans="3:14" ht="13.5" customHeight="1" x14ac:dyDescent="0.2"/>
    <row r="257" spans="3:14" ht="13.5" customHeight="1" x14ac:dyDescent="0.2"/>
    <row r="258" spans="3:14" ht="13.5" customHeight="1" x14ac:dyDescent="0.2"/>
    <row r="259" spans="3:14" ht="13.5" customHeight="1" x14ac:dyDescent="0.2">
      <c r="C259" s="713" t="s">
        <v>468</v>
      </c>
      <c r="D259" s="729"/>
      <c r="E259" s="729"/>
      <c r="F259" s="729"/>
      <c r="G259" s="729"/>
      <c r="H259" s="729"/>
      <c r="I259" s="729"/>
      <c r="J259" s="729"/>
      <c r="K259" s="729"/>
      <c r="L259" s="729"/>
      <c r="M259" s="729"/>
      <c r="N259" s="752"/>
    </row>
    <row r="260" spans="3:14" ht="13.5" customHeight="1" x14ac:dyDescent="0.2">
      <c r="C260" s="731"/>
      <c r="D260" s="732"/>
      <c r="E260" s="732"/>
      <c r="F260" s="732"/>
      <c r="G260" s="732"/>
      <c r="H260" s="732"/>
      <c r="I260" s="732"/>
      <c r="J260" s="732"/>
      <c r="K260" s="732"/>
      <c r="L260" s="732"/>
      <c r="M260" s="732"/>
      <c r="N260" s="733"/>
    </row>
    <row r="261" spans="3:14" ht="13.5" customHeight="1" x14ac:dyDescent="0.2">
      <c r="C261" s="731"/>
      <c r="D261" s="732"/>
      <c r="E261" s="732"/>
      <c r="F261" s="732"/>
      <c r="G261" s="732"/>
      <c r="H261" s="732"/>
      <c r="I261" s="732"/>
      <c r="J261" s="732"/>
      <c r="K261" s="732"/>
      <c r="L261" s="732"/>
      <c r="M261" s="732"/>
      <c r="N261" s="733"/>
    </row>
    <row r="262" spans="3:14" ht="13.5" customHeight="1" x14ac:dyDescent="0.2">
      <c r="C262" s="731"/>
      <c r="D262" s="732"/>
      <c r="E262" s="732"/>
      <c r="F262" s="732"/>
      <c r="G262" s="732"/>
      <c r="H262" s="732"/>
      <c r="I262" s="732"/>
      <c r="J262" s="732"/>
      <c r="K262" s="732"/>
      <c r="L262" s="732"/>
      <c r="M262" s="732"/>
      <c r="N262" s="733"/>
    </row>
    <row r="263" spans="3:14" ht="13.5" customHeight="1" x14ac:dyDescent="0.2">
      <c r="C263" s="731"/>
      <c r="D263" s="732"/>
      <c r="E263" s="732"/>
      <c r="F263" s="732"/>
      <c r="G263" s="732"/>
      <c r="H263" s="732"/>
      <c r="I263" s="732"/>
      <c r="J263" s="732"/>
      <c r="K263" s="732"/>
      <c r="L263" s="732"/>
      <c r="M263" s="732"/>
      <c r="N263" s="733"/>
    </row>
    <row r="264" spans="3:14" ht="13.5" customHeight="1" x14ac:dyDescent="0.2">
      <c r="C264" s="731"/>
      <c r="D264" s="732"/>
      <c r="E264" s="732"/>
      <c r="F264" s="732"/>
      <c r="G264" s="732"/>
      <c r="H264" s="732"/>
      <c r="I264" s="732"/>
      <c r="J264" s="732"/>
      <c r="K264" s="732"/>
      <c r="L264" s="732"/>
      <c r="M264" s="732"/>
      <c r="N264" s="733"/>
    </row>
    <row r="265" spans="3:14" ht="13.5" customHeight="1" x14ac:dyDescent="0.2">
      <c r="C265" s="731"/>
      <c r="D265" s="732"/>
      <c r="E265" s="732"/>
      <c r="F265" s="732"/>
      <c r="G265" s="732"/>
      <c r="H265" s="732"/>
      <c r="I265" s="732"/>
      <c r="J265" s="732"/>
      <c r="K265" s="732"/>
      <c r="L265" s="732"/>
      <c r="M265" s="732"/>
      <c r="N265" s="733"/>
    </row>
    <row r="266" spans="3:14" ht="13.5" customHeight="1" x14ac:dyDescent="0.2">
      <c r="C266" s="731"/>
      <c r="D266" s="732"/>
      <c r="E266" s="732"/>
      <c r="F266" s="732"/>
      <c r="G266" s="732"/>
      <c r="H266" s="732"/>
      <c r="I266" s="732"/>
      <c r="J266" s="732"/>
      <c r="K266" s="732"/>
      <c r="L266" s="732"/>
      <c r="M266" s="732"/>
      <c r="N266" s="733"/>
    </row>
    <row r="267" spans="3:14" ht="13.5" customHeight="1" x14ac:dyDescent="0.2">
      <c r="C267" s="731"/>
      <c r="D267" s="732"/>
      <c r="E267" s="732"/>
      <c r="F267" s="732"/>
      <c r="G267" s="732"/>
      <c r="H267" s="732"/>
      <c r="I267" s="732"/>
      <c r="J267" s="732"/>
      <c r="K267" s="732"/>
      <c r="L267" s="732"/>
      <c r="M267" s="732"/>
      <c r="N267" s="733"/>
    </row>
    <row r="268" spans="3:14" ht="13.5" customHeight="1" x14ac:dyDescent="0.2">
      <c r="C268" s="731"/>
      <c r="D268" s="732"/>
      <c r="E268" s="732"/>
      <c r="F268" s="732"/>
      <c r="G268" s="732"/>
      <c r="H268" s="732"/>
      <c r="I268" s="732"/>
      <c r="J268" s="732"/>
      <c r="K268" s="732"/>
      <c r="L268" s="732"/>
      <c r="M268" s="732"/>
      <c r="N268" s="733"/>
    </row>
    <row r="269" spans="3:14" ht="13.5" customHeight="1" x14ac:dyDescent="0.2">
      <c r="C269" s="731"/>
      <c r="D269" s="732"/>
      <c r="E269" s="732"/>
      <c r="F269" s="732"/>
      <c r="G269" s="732"/>
      <c r="H269" s="732"/>
      <c r="I269" s="732"/>
      <c r="J269" s="732"/>
      <c r="K269" s="732"/>
      <c r="L269" s="732"/>
      <c r="M269" s="732"/>
      <c r="N269" s="733"/>
    </row>
    <row r="270" spans="3:14" ht="13.5" customHeight="1" x14ac:dyDescent="0.2">
      <c r="C270" s="731"/>
      <c r="D270" s="732"/>
      <c r="E270" s="732"/>
      <c r="F270" s="732"/>
      <c r="G270" s="732"/>
      <c r="H270" s="732"/>
      <c r="I270" s="732"/>
      <c r="J270" s="732"/>
      <c r="K270" s="732"/>
      <c r="L270" s="732"/>
      <c r="M270" s="732"/>
      <c r="N270" s="733"/>
    </row>
    <row r="271" spans="3:14" ht="13.5" customHeight="1" x14ac:dyDescent="0.2">
      <c r="C271" s="731"/>
      <c r="D271" s="732"/>
      <c r="E271" s="732"/>
      <c r="F271" s="732"/>
      <c r="G271" s="732"/>
      <c r="H271" s="732"/>
      <c r="I271" s="732"/>
      <c r="J271" s="732"/>
      <c r="K271" s="732"/>
      <c r="L271" s="732"/>
      <c r="M271" s="732"/>
      <c r="N271" s="733"/>
    </row>
    <row r="272" spans="3:14" ht="13.5" customHeight="1" x14ac:dyDescent="0.2">
      <c r="C272" s="731"/>
      <c r="D272" s="732"/>
      <c r="E272" s="732"/>
      <c r="F272" s="732"/>
      <c r="G272" s="732"/>
      <c r="H272" s="732"/>
      <c r="I272" s="732"/>
      <c r="J272" s="732"/>
      <c r="K272" s="732"/>
      <c r="L272" s="732"/>
      <c r="M272" s="732"/>
      <c r="N272" s="733"/>
    </row>
    <row r="273" spans="3:14" ht="13.5" customHeight="1" x14ac:dyDescent="0.2">
      <c r="C273" s="731"/>
      <c r="D273" s="732"/>
      <c r="E273" s="732"/>
      <c r="F273" s="732"/>
      <c r="G273" s="732"/>
      <c r="H273" s="732"/>
      <c r="I273" s="732"/>
      <c r="J273" s="732"/>
      <c r="K273" s="732"/>
      <c r="L273" s="732"/>
      <c r="M273" s="732"/>
      <c r="N273" s="733"/>
    </row>
    <row r="274" spans="3:14" ht="13.5" customHeight="1" x14ac:dyDescent="0.2">
      <c r="C274" s="731"/>
      <c r="D274" s="732"/>
      <c r="E274" s="732"/>
      <c r="F274" s="732"/>
      <c r="G274" s="732"/>
      <c r="H274" s="732"/>
      <c r="I274" s="732"/>
      <c r="J274" s="732"/>
      <c r="K274" s="732"/>
      <c r="L274" s="732"/>
      <c r="M274" s="732"/>
      <c r="N274" s="733"/>
    </row>
    <row r="275" spans="3:14" ht="13.5" customHeight="1" x14ac:dyDescent="0.2">
      <c r="C275" s="731"/>
      <c r="D275" s="732"/>
      <c r="E275" s="732"/>
      <c r="F275" s="732"/>
      <c r="G275" s="732"/>
      <c r="H275" s="732"/>
      <c r="I275" s="732"/>
      <c r="J275" s="732"/>
      <c r="K275" s="732"/>
      <c r="L275" s="732"/>
      <c r="M275" s="732"/>
      <c r="N275" s="733"/>
    </row>
    <row r="276" spans="3:14" ht="13.5" customHeight="1" x14ac:dyDescent="0.2">
      <c r="C276" s="731"/>
      <c r="D276" s="732"/>
      <c r="E276" s="732"/>
      <c r="F276" s="732"/>
      <c r="G276" s="732"/>
      <c r="H276" s="732"/>
      <c r="I276" s="732"/>
      <c r="J276" s="732"/>
      <c r="K276" s="732"/>
      <c r="L276" s="732"/>
      <c r="M276" s="732"/>
      <c r="N276" s="733"/>
    </row>
    <row r="277" spans="3:14" ht="13.5" customHeight="1" x14ac:dyDescent="0.2">
      <c r="C277" s="731"/>
      <c r="D277" s="732"/>
      <c r="E277" s="732"/>
      <c r="F277" s="732"/>
      <c r="G277" s="732"/>
      <c r="H277" s="732"/>
      <c r="I277" s="732"/>
      <c r="J277" s="732"/>
      <c r="K277" s="732"/>
      <c r="L277" s="732"/>
      <c r="M277" s="732"/>
      <c r="N277" s="733"/>
    </row>
    <row r="278" spans="3:14" ht="13.5" customHeight="1" x14ac:dyDescent="0.2">
      <c r="C278" s="731"/>
      <c r="D278" s="732"/>
      <c r="E278" s="732"/>
      <c r="F278" s="732"/>
      <c r="G278" s="732"/>
      <c r="H278" s="732"/>
      <c r="I278" s="732"/>
      <c r="J278" s="732"/>
      <c r="K278" s="732"/>
      <c r="L278" s="732"/>
      <c r="M278" s="732"/>
      <c r="N278" s="733"/>
    </row>
    <row r="279" spans="3:14" ht="13.5" customHeight="1" x14ac:dyDescent="0.2">
      <c r="C279" s="731"/>
      <c r="D279" s="732"/>
      <c r="E279" s="732"/>
      <c r="F279" s="732"/>
      <c r="G279" s="732"/>
      <c r="H279" s="732"/>
      <c r="I279" s="732"/>
      <c r="J279" s="732"/>
      <c r="K279" s="732"/>
      <c r="L279" s="732"/>
      <c r="M279" s="732"/>
      <c r="N279" s="733"/>
    </row>
    <row r="280" spans="3:14" ht="13.5" customHeight="1" x14ac:dyDescent="0.2">
      <c r="C280" s="731"/>
      <c r="D280" s="732"/>
      <c r="E280" s="732"/>
      <c r="F280" s="732"/>
      <c r="G280" s="732"/>
      <c r="H280" s="732"/>
      <c r="I280" s="732"/>
      <c r="J280" s="732"/>
      <c r="K280" s="732"/>
      <c r="L280" s="732"/>
      <c r="M280" s="732"/>
      <c r="N280" s="733"/>
    </row>
    <row r="281" spans="3:14" ht="13.5" customHeight="1" x14ac:dyDescent="0.2">
      <c r="C281" s="731"/>
      <c r="D281" s="732"/>
      <c r="E281" s="732"/>
      <c r="F281" s="732"/>
      <c r="G281" s="732"/>
      <c r="H281" s="732"/>
      <c r="I281" s="732"/>
      <c r="J281" s="732"/>
      <c r="K281" s="732"/>
      <c r="L281" s="732"/>
      <c r="M281" s="732"/>
      <c r="N281" s="733"/>
    </row>
    <row r="282" spans="3:14" ht="13.5" customHeight="1" x14ac:dyDescent="0.2">
      <c r="C282" s="731"/>
      <c r="D282" s="732"/>
      <c r="E282" s="732"/>
      <c r="F282" s="732"/>
      <c r="G282" s="732"/>
      <c r="H282" s="732"/>
      <c r="I282" s="732"/>
      <c r="J282" s="732"/>
      <c r="K282" s="732"/>
      <c r="L282" s="732"/>
      <c r="M282" s="732"/>
      <c r="N282" s="733"/>
    </row>
    <row r="283" spans="3:14" ht="13.5" customHeight="1" x14ac:dyDescent="0.2">
      <c r="C283" s="731"/>
      <c r="D283" s="732"/>
      <c r="E283" s="732"/>
      <c r="F283" s="732"/>
      <c r="G283" s="732"/>
      <c r="H283" s="732"/>
      <c r="I283" s="732"/>
      <c r="J283" s="732"/>
      <c r="K283" s="732"/>
      <c r="L283" s="732"/>
      <c r="M283" s="732"/>
      <c r="N283" s="733"/>
    </row>
    <row r="284" spans="3:14" ht="13.5" customHeight="1" x14ac:dyDescent="0.2">
      <c r="C284" s="731"/>
      <c r="D284" s="732"/>
      <c r="E284" s="732"/>
      <c r="F284" s="732"/>
      <c r="G284" s="732"/>
      <c r="H284" s="732"/>
      <c r="I284" s="732"/>
      <c r="J284" s="732"/>
      <c r="K284" s="732"/>
      <c r="L284" s="732"/>
      <c r="M284" s="732"/>
      <c r="N284" s="733"/>
    </row>
    <row r="285" spans="3:14" ht="13.5" customHeight="1" x14ac:dyDescent="0.2">
      <c r="C285" s="731"/>
      <c r="D285" s="732"/>
      <c r="E285" s="732"/>
      <c r="F285" s="732"/>
      <c r="G285" s="732"/>
      <c r="H285" s="732"/>
      <c r="I285" s="732"/>
      <c r="J285" s="732"/>
      <c r="K285" s="732"/>
      <c r="L285" s="732"/>
      <c r="M285" s="732"/>
      <c r="N285" s="733"/>
    </row>
    <row r="286" spans="3:14" ht="13.5" customHeight="1" x14ac:dyDescent="0.2">
      <c r="C286" s="731"/>
      <c r="D286" s="732"/>
      <c r="E286" s="732"/>
      <c r="F286" s="732"/>
      <c r="G286" s="732"/>
      <c r="H286" s="732"/>
      <c r="I286" s="732"/>
      <c r="J286" s="732"/>
      <c r="K286" s="732"/>
      <c r="L286" s="732"/>
      <c r="M286" s="732"/>
      <c r="N286" s="733"/>
    </row>
    <row r="287" spans="3:14" ht="13.5" customHeight="1" x14ac:dyDescent="0.2">
      <c r="C287" s="731"/>
      <c r="D287" s="732"/>
      <c r="E287" s="732"/>
      <c r="F287" s="732"/>
      <c r="G287" s="732"/>
      <c r="H287" s="732"/>
      <c r="I287" s="732"/>
      <c r="J287" s="732"/>
      <c r="K287" s="732"/>
      <c r="L287" s="732"/>
      <c r="M287" s="732"/>
      <c r="N287" s="733"/>
    </row>
    <row r="288" spans="3:14" ht="13.5" customHeight="1" x14ac:dyDescent="0.2">
      <c r="C288" s="731"/>
      <c r="D288" s="732"/>
      <c r="E288" s="732"/>
      <c r="F288" s="732"/>
      <c r="G288" s="732"/>
      <c r="H288" s="732"/>
      <c r="I288" s="732"/>
      <c r="J288" s="732"/>
      <c r="K288" s="732"/>
      <c r="L288" s="732"/>
      <c r="M288" s="732"/>
      <c r="N288" s="733"/>
    </row>
    <row r="289" spans="3:14" ht="13.5" customHeight="1" x14ac:dyDescent="0.2">
      <c r="C289" s="731"/>
      <c r="D289" s="732"/>
      <c r="E289" s="732"/>
      <c r="F289" s="732"/>
      <c r="G289" s="732"/>
      <c r="H289" s="732"/>
      <c r="I289" s="732"/>
      <c r="J289" s="732"/>
      <c r="K289" s="732"/>
      <c r="L289" s="732"/>
      <c r="M289" s="732"/>
      <c r="N289" s="733"/>
    </row>
    <row r="290" spans="3:14" ht="13.5" customHeight="1" x14ac:dyDescent="0.2">
      <c r="C290" s="731"/>
      <c r="D290" s="732"/>
      <c r="E290" s="732"/>
      <c r="F290" s="732"/>
      <c r="G290" s="732"/>
      <c r="H290" s="732"/>
      <c r="I290" s="732"/>
      <c r="J290" s="732"/>
      <c r="K290" s="732"/>
      <c r="L290" s="732"/>
      <c r="M290" s="732"/>
      <c r="N290" s="733"/>
    </row>
    <row r="291" spans="3:14" ht="13.5" customHeight="1" x14ac:dyDescent="0.2">
      <c r="C291" s="731"/>
      <c r="D291" s="732"/>
      <c r="E291" s="732"/>
      <c r="F291" s="732"/>
      <c r="G291" s="732"/>
      <c r="H291" s="732"/>
      <c r="I291" s="732"/>
      <c r="J291" s="732"/>
      <c r="K291" s="732"/>
      <c r="L291" s="732"/>
      <c r="M291" s="732"/>
      <c r="N291" s="733"/>
    </row>
    <row r="292" spans="3:14" ht="13.5" customHeight="1" x14ac:dyDescent="0.2">
      <c r="C292" s="731"/>
      <c r="D292" s="732"/>
      <c r="E292" s="732"/>
      <c r="F292" s="732"/>
      <c r="G292" s="732"/>
      <c r="H292" s="732"/>
      <c r="I292" s="732"/>
      <c r="J292" s="732"/>
      <c r="K292" s="732"/>
      <c r="L292" s="732"/>
      <c r="M292" s="732"/>
      <c r="N292" s="733"/>
    </row>
    <row r="293" spans="3:14" ht="13.5" customHeight="1" x14ac:dyDescent="0.2">
      <c r="C293" s="731"/>
      <c r="D293" s="732"/>
      <c r="E293" s="732"/>
      <c r="F293" s="732"/>
      <c r="G293" s="732"/>
      <c r="H293" s="732"/>
      <c r="I293" s="732"/>
      <c r="J293" s="732"/>
      <c r="K293" s="732"/>
      <c r="L293" s="732"/>
      <c r="M293" s="732"/>
      <c r="N293" s="733"/>
    </row>
    <row r="294" spans="3:14" ht="13.5" customHeight="1" x14ac:dyDescent="0.2">
      <c r="C294" s="731"/>
      <c r="D294" s="732"/>
      <c r="E294" s="732"/>
      <c r="F294" s="732"/>
      <c r="G294" s="732"/>
      <c r="H294" s="732"/>
      <c r="I294" s="732"/>
      <c r="J294" s="732"/>
      <c r="K294" s="732"/>
      <c r="L294" s="732"/>
      <c r="M294" s="732"/>
      <c r="N294" s="733"/>
    </row>
    <row r="295" spans="3:14" ht="13.5" customHeight="1" x14ac:dyDescent="0.2">
      <c r="C295" s="731"/>
      <c r="D295" s="732"/>
      <c r="E295" s="732"/>
      <c r="F295" s="732"/>
      <c r="G295" s="732"/>
      <c r="H295" s="732"/>
      <c r="I295" s="732"/>
      <c r="J295" s="732"/>
      <c r="K295" s="732"/>
      <c r="L295" s="732"/>
      <c r="M295" s="732"/>
      <c r="N295" s="733"/>
    </row>
    <row r="296" spans="3:14" ht="13.5" customHeight="1" x14ac:dyDescent="0.2">
      <c r="C296" s="731"/>
      <c r="D296" s="732"/>
      <c r="E296" s="732"/>
      <c r="F296" s="732"/>
      <c r="G296" s="732"/>
      <c r="H296" s="732"/>
      <c r="I296" s="732"/>
      <c r="J296" s="732"/>
      <c r="K296" s="732"/>
      <c r="L296" s="732"/>
      <c r="M296" s="732"/>
      <c r="N296" s="733"/>
    </row>
    <row r="297" spans="3:14" ht="13.5" customHeight="1" x14ac:dyDescent="0.2">
      <c r="C297" s="731"/>
      <c r="D297" s="732"/>
      <c r="E297" s="732"/>
      <c r="F297" s="732"/>
      <c r="G297" s="732"/>
      <c r="H297" s="732"/>
      <c r="I297" s="732"/>
      <c r="J297" s="732"/>
      <c r="K297" s="732"/>
      <c r="L297" s="732"/>
      <c r="M297" s="732"/>
      <c r="N297" s="733"/>
    </row>
    <row r="298" spans="3:14" ht="13.5" customHeight="1" x14ac:dyDescent="0.2">
      <c r="C298" s="731"/>
      <c r="D298" s="732"/>
      <c r="E298" s="732"/>
      <c r="F298" s="732"/>
      <c r="G298" s="732"/>
      <c r="H298" s="732"/>
      <c r="I298" s="732"/>
      <c r="J298" s="732"/>
      <c r="K298" s="732"/>
      <c r="L298" s="732"/>
      <c r="M298" s="732"/>
      <c r="N298" s="733"/>
    </row>
    <row r="299" spans="3:14" ht="13.5" customHeight="1" x14ac:dyDescent="0.2">
      <c r="C299" s="731"/>
      <c r="D299" s="732"/>
      <c r="E299" s="732"/>
      <c r="F299" s="732"/>
      <c r="G299" s="732"/>
      <c r="H299" s="732"/>
      <c r="I299" s="732"/>
      <c r="J299" s="732"/>
      <c r="K299" s="732"/>
      <c r="L299" s="732"/>
      <c r="M299" s="732"/>
      <c r="N299" s="733"/>
    </row>
    <row r="300" spans="3:14" ht="13.5" customHeight="1" x14ac:dyDescent="0.2">
      <c r="C300" s="731"/>
      <c r="D300" s="732"/>
      <c r="E300" s="732"/>
      <c r="F300" s="732"/>
      <c r="G300" s="732"/>
      <c r="H300" s="732"/>
      <c r="I300" s="732"/>
      <c r="J300" s="732"/>
      <c r="K300" s="732"/>
      <c r="L300" s="732"/>
      <c r="M300" s="732"/>
      <c r="N300" s="733"/>
    </row>
    <row r="301" spans="3:14" ht="13.5" customHeight="1" x14ac:dyDescent="0.2">
      <c r="C301" s="731"/>
      <c r="D301" s="732"/>
      <c r="E301" s="732"/>
      <c r="F301" s="732"/>
      <c r="G301" s="732"/>
      <c r="H301" s="732"/>
      <c r="I301" s="732"/>
      <c r="J301" s="732"/>
      <c r="K301" s="732"/>
      <c r="L301" s="732"/>
      <c r="M301" s="732"/>
      <c r="N301" s="733"/>
    </row>
    <row r="302" spans="3:14" ht="13.5" customHeight="1" x14ac:dyDescent="0.2">
      <c r="C302" s="731"/>
      <c r="D302" s="732"/>
      <c r="E302" s="732"/>
      <c r="F302" s="732"/>
      <c r="G302" s="732"/>
      <c r="H302" s="732"/>
      <c r="I302" s="732"/>
      <c r="J302" s="732"/>
      <c r="K302" s="732"/>
      <c r="L302" s="732"/>
      <c r="M302" s="732"/>
      <c r="N302" s="733"/>
    </row>
    <row r="303" spans="3:14" ht="13.5" customHeight="1" x14ac:dyDescent="0.2">
      <c r="C303" s="731"/>
      <c r="D303" s="732"/>
      <c r="E303" s="732"/>
      <c r="F303" s="732"/>
      <c r="G303" s="732"/>
      <c r="H303" s="732"/>
      <c r="I303" s="732"/>
      <c r="J303" s="732"/>
      <c r="K303" s="732"/>
      <c r="L303" s="732"/>
      <c r="M303" s="732"/>
      <c r="N303" s="733"/>
    </row>
    <row r="304" spans="3:14" ht="13.5" customHeight="1" x14ac:dyDescent="0.2">
      <c r="C304" s="731"/>
      <c r="D304" s="732"/>
      <c r="E304" s="732"/>
      <c r="F304" s="732"/>
      <c r="G304" s="732"/>
      <c r="H304" s="732"/>
      <c r="I304" s="732"/>
      <c r="J304" s="732"/>
      <c r="K304" s="732"/>
      <c r="L304" s="732"/>
      <c r="M304" s="732"/>
      <c r="N304" s="733"/>
    </row>
    <row r="305" spans="3:14" ht="13.5" customHeight="1" x14ac:dyDescent="0.2">
      <c r="C305" s="734"/>
      <c r="D305" s="735"/>
      <c r="E305" s="735"/>
      <c r="F305" s="735"/>
      <c r="G305" s="735"/>
      <c r="H305" s="735"/>
      <c r="I305" s="735"/>
      <c r="J305" s="735"/>
      <c r="K305" s="735"/>
      <c r="L305" s="735"/>
      <c r="M305" s="735"/>
      <c r="N305" s="736"/>
    </row>
    <row r="306" spans="3:14" ht="13.5" customHeight="1" x14ac:dyDescent="0.2"/>
    <row r="307" spans="3:14" ht="13.5" customHeight="1" x14ac:dyDescent="0.2"/>
    <row r="308" spans="3:14" ht="13.5" customHeight="1" x14ac:dyDescent="0.2">
      <c r="C308" s="728" t="s">
        <v>467</v>
      </c>
      <c r="D308" s="714"/>
      <c r="E308" s="714"/>
      <c r="F308" s="714"/>
      <c r="G308" s="714"/>
      <c r="H308" s="714"/>
      <c r="I308" s="714"/>
      <c r="J308" s="714"/>
      <c r="K308" s="714"/>
      <c r="L308" s="714"/>
      <c r="M308" s="714"/>
      <c r="N308" s="742"/>
    </row>
    <row r="309" spans="3:14" ht="13.5" customHeight="1" x14ac:dyDescent="0.2">
      <c r="C309" s="716"/>
      <c r="D309" s="717"/>
      <c r="E309" s="717"/>
      <c r="F309" s="717"/>
      <c r="G309" s="717"/>
      <c r="H309" s="717"/>
      <c r="I309" s="717"/>
      <c r="J309" s="717"/>
      <c r="K309" s="717"/>
      <c r="L309" s="717"/>
      <c r="M309" s="717"/>
      <c r="N309" s="718"/>
    </row>
    <row r="310" spans="3:14" ht="13.5" customHeight="1" x14ac:dyDescent="0.2">
      <c r="C310" s="716"/>
      <c r="D310" s="717"/>
      <c r="E310" s="717"/>
      <c r="F310" s="717"/>
      <c r="G310" s="717"/>
      <c r="H310" s="717"/>
      <c r="I310" s="717"/>
      <c r="J310" s="717"/>
      <c r="K310" s="717"/>
      <c r="L310" s="717"/>
      <c r="M310" s="717"/>
      <c r="N310" s="718"/>
    </row>
    <row r="311" spans="3:14" ht="13.5" customHeight="1" x14ac:dyDescent="0.2">
      <c r="C311" s="716"/>
      <c r="D311" s="717"/>
      <c r="E311" s="717"/>
      <c r="F311" s="717"/>
      <c r="G311" s="717"/>
      <c r="H311" s="717"/>
      <c r="I311" s="717"/>
      <c r="J311" s="717"/>
      <c r="K311" s="717"/>
      <c r="L311" s="717"/>
      <c r="M311" s="717"/>
      <c r="N311" s="718"/>
    </row>
    <row r="312" spans="3:14" ht="13.5" customHeight="1" x14ac:dyDescent="0.2">
      <c r="C312" s="716"/>
      <c r="D312" s="717"/>
      <c r="E312" s="717"/>
      <c r="F312" s="717"/>
      <c r="G312" s="717"/>
      <c r="H312" s="717"/>
      <c r="I312" s="717"/>
      <c r="J312" s="717"/>
      <c r="K312" s="717"/>
      <c r="L312" s="717"/>
      <c r="M312" s="717"/>
      <c r="N312" s="718"/>
    </row>
    <row r="313" spans="3:14" ht="13.5" customHeight="1" x14ac:dyDescent="0.2">
      <c r="C313" s="716"/>
      <c r="D313" s="717"/>
      <c r="E313" s="717"/>
      <c r="F313" s="717"/>
      <c r="G313" s="717"/>
      <c r="H313" s="717"/>
      <c r="I313" s="717"/>
      <c r="J313" s="717"/>
      <c r="K313" s="717"/>
      <c r="L313" s="717"/>
      <c r="M313" s="717"/>
      <c r="N313" s="718"/>
    </row>
    <row r="314" spans="3:14" ht="13.5" customHeight="1" x14ac:dyDescent="0.2">
      <c r="C314" s="716"/>
      <c r="D314" s="717"/>
      <c r="E314" s="717"/>
      <c r="F314" s="717"/>
      <c r="G314" s="717"/>
      <c r="H314" s="717"/>
      <c r="I314" s="717"/>
      <c r="J314" s="717"/>
      <c r="K314" s="717"/>
      <c r="L314" s="717"/>
      <c r="M314" s="717"/>
      <c r="N314" s="718"/>
    </row>
    <row r="315" spans="3:14" ht="13.5" customHeight="1" x14ac:dyDescent="0.2">
      <c r="C315" s="716"/>
      <c r="D315" s="717"/>
      <c r="E315" s="717"/>
      <c r="F315" s="717"/>
      <c r="G315" s="717"/>
      <c r="H315" s="717"/>
      <c r="I315" s="717"/>
      <c r="J315" s="717"/>
      <c r="K315" s="717"/>
      <c r="L315" s="717"/>
      <c r="M315" s="717"/>
      <c r="N315" s="718"/>
    </row>
    <row r="316" spans="3:14" ht="13.5" customHeight="1" x14ac:dyDescent="0.2">
      <c r="C316" s="716"/>
      <c r="D316" s="717"/>
      <c r="E316" s="717"/>
      <c r="F316" s="717"/>
      <c r="G316" s="717"/>
      <c r="H316" s="717"/>
      <c r="I316" s="717"/>
      <c r="J316" s="717"/>
      <c r="K316" s="717"/>
      <c r="L316" s="717"/>
      <c r="M316" s="717"/>
      <c r="N316" s="718"/>
    </row>
    <row r="317" spans="3:14" ht="13.5" customHeight="1" x14ac:dyDescent="0.2">
      <c r="C317" s="716"/>
      <c r="D317" s="717"/>
      <c r="E317" s="717"/>
      <c r="F317" s="717"/>
      <c r="G317" s="717"/>
      <c r="H317" s="717"/>
      <c r="I317" s="717"/>
      <c r="J317" s="717"/>
      <c r="K317" s="717"/>
      <c r="L317" s="717"/>
      <c r="M317" s="717"/>
      <c r="N317" s="718"/>
    </row>
    <row r="318" spans="3:14" ht="13.5" customHeight="1" x14ac:dyDescent="0.2">
      <c r="C318" s="716"/>
      <c r="D318" s="717"/>
      <c r="E318" s="717"/>
      <c r="F318" s="717"/>
      <c r="G318" s="717"/>
      <c r="H318" s="717"/>
      <c r="I318" s="717"/>
      <c r="J318" s="717"/>
      <c r="K318" s="717"/>
      <c r="L318" s="717"/>
      <c r="M318" s="717"/>
      <c r="N318" s="718"/>
    </row>
    <row r="319" spans="3:14" ht="13.5" customHeight="1" x14ac:dyDescent="0.2">
      <c r="C319" s="716"/>
      <c r="D319" s="717"/>
      <c r="E319" s="717"/>
      <c r="F319" s="717"/>
      <c r="G319" s="717"/>
      <c r="H319" s="717"/>
      <c r="I319" s="717"/>
      <c r="J319" s="717"/>
      <c r="K319" s="717"/>
      <c r="L319" s="717"/>
      <c r="M319" s="717"/>
      <c r="N319" s="718"/>
    </row>
    <row r="320" spans="3:14" ht="13.5" customHeight="1" x14ac:dyDescent="0.2">
      <c r="C320" s="716"/>
      <c r="D320" s="717"/>
      <c r="E320" s="717"/>
      <c r="F320" s="717"/>
      <c r="G320" s="717"/>
      <c r="H320" s="717"/>
      <c r="I320" s="717"/>
      <c r="J320" s="717"/>
      <c r="K320" s="717"/>
      <c r="L320" s="717"/>
      <c r="M320" s="717"/>
      <c r="N320" s="718"/>
    </row>
    <row r="321" spans="3:14" ht="13.5" customHeight="1" x14ac:dyDescent="0.2">
      <c r="C321" s="716"/>
      <c r="D321" s="717"/>
      <c r="E321" s="717"/>
      <c r="F321" s="717"/>
      <c r="G321" s="717"/>
      <c r="H321" s="717"/>
      <c r="I321" s="717"/>
      <c r="J321" s="717"/>
      <c r="K321" s="717"/>
      <c r="L321" s="717"/>
      <c r="M321" s="717"/>
      <c r="N321" s="718"/>
    </row>
    <row r="322" spans="3:14" ht="13.5" customHeight="1" x14ac:dyDescent="0.2">
      <c r="C322" s="716"/>
      <c r="D322" s="717"/>
      <c r="E322" s="717"/>
      <c r="F322" s="717"/>
      <c r="G322" s="717"/>
      <c r="H322" s="717"/>
      <c r="I322" s="717"/>
      <c r="J322" s="717"/>
      <c r="K322" s="717"/>
      <c r="L322" s="717"/>
      <c r="M322" s="717"/>
      <c r="N322" s="718"/>
    </row>
    <row r="323" spans="3:14" ht="13.5" customHeight="1" x14ac:dyDescent="0.2">
      <c r="C323" s="716"/>
      <c r="D323" s="717"/>
      <c r="E323" s="717"/>
      <c r="F323" s="717"/>
      <c r="G323" s="717"/>
      <c r="H323" s="717"/>
      <c r="I323" s="717"/>
      <c r="J323" s="717"/>
      <c r="K323" s="717"/>
      <c r="L323" s="717"/>
      <c r="M323" s="717"/>
      <c r="N323" s="718"/>
    </row>
    <row r="324" spans="3:14" ht="13.5" customHeight="1" x14ac:dyDescent="0.2">
      <c r="C324" s="716"/>
      <c r="D324" s="717"/>
      <c r="E324" s="717"/>
      <c r="F324" s="717"/>
      <c r="G324" s="717"/>
      <c r="H324" s="717"/>
      <c r="I324" s="717"/>
      <c r="J324" s="717"/>
      <c r="K324" s="717"/>
      <c r="L324" s="717"/>
      <c r="M324" s="717"/>
      <c r="N324" s="718"/>
    </row>
    <row r="325" spans="3:14" ht="13.5" customHeight="1" x14ac:dyDescent="0.2">
      <c r="C325" s="716"/>
      <c r="D325" s="717"/>
      <c r="E325" s="717"/>
      <c r="F325" s="717"/>
      <c r="G325" s="717"/>
      <c r="H325" s="717"/>
      <c r="I325" s="717"/>
      <c r="J325" s="717"/>
      <c r="K325" s="717"/>
      <c r="L325" s="717"/>
      <c r="M325" s="717"/>
      <c r="N325" s="718"/>
    </row>
    <row r="326" spans="3:14" ht="13.5" customHeight="1" x14ac:dyDescent="0.2">
      <c r="C326" s="716"/>
      <c r="D326" s="717"/>
      <c r="E326" s="717"/>
      <c r="F326" s="717"/>
      <c r="G326" s="717"/>
      <c r="H326" s="717"/>
      <c r="I326" s="717"/>
      <c r="J326" s="717"/>
      <c r="K326" s="717"/>
      <c r="L326" s="717"/>
      <c r="M326" s="717"/>
      <c r="N326" s="718"/>
    </row>
    <row r="327" spans="3:14" ht="13.5" customHeight="1" x14ac:dyDescent="0.2">
      <c r="C327" s="716"/>
      <c r="D327" s="717"/>
      <c r="E327" s="717"/>
      <c r="F327" s="717"/>
      <c r="G327" s="717"/>
      <c r="H327" s="717"/>
      <c r="I327" s="717"/>
      <c r="J327" s="717"/>
      <c r="K327" s="717"/>
      <c r="L327" s="717"/>
      <c r="M327" s="717"/>
      <c r="N327" s="718"/>
    </row>
    <row r="328" spans="3:14" ht="13.5" customHeight="1" x14ac:dyDescent="0.2">
      <c r="C328" s="716"/>
      <c r="D328" s="717"/>
      <c r="E328" s="717"/>
      <c r="F328" s="717"/>
      <c r="G328" s="717"/>
      <c r="H328" s="717"/>
      <c r="I328" s="717"/>
      <c r="J328" s="717"/>
      <c r="K328" s="717"/>
      <c r="L328" s="717"/>
      <c r="M328" s="717"/>
      <c r="N328" s="718"/>
    </row>
    <row r="329" spans="3:14" ht="13.5" customHeight="1" x14ac:dyDescent="0.2">
      <c r="C329" s="716"/>
      <c r="D329" s="717"/>
      <c r="E329" s="717"/>
      <c r="F329" s="717"/>
      <c r="G329" s="717"/>
      <c r="H329" s="717"/>
      <c r="I329" s="717"/>
      <c r="J329" s="717"/>
      <c r="K329" s="717"/>
      <c r="L329" s="717"/>
      <c r="M329" s="717"/>
      <c r="N329" s="718"/>
    </row>
    <row r="330" spans="3:14" ht="13.5" customHeight="1" x14ac:dyDescent="0.2">
      <c r="C330" s="716"/>
      <c r="D330" s="717"/>
      <c r="E330" s="717"/>
      <c r="F330" s="717"/>
      <c r="G330" s="717"/>
      <c r="H330" s="717"/>
      <c r="I330" s="717"/>
      <c r="J330" s="717"/>
      <c r="K330" s="717"/>
      <c r="L330" s="717"/>
      <c r="M330" s="717"/>
      <c r="N330" s="718"/>
    </row>
    <row r="331" spans="3:14" ht="13.5" customHeight="1" x14ac:dyDescent="0.2">
      <c r="C331" s="716"/>
      <c r="D331" s="717"/>
      <c r="E331" s="717"/>
      <c r="F331" s="717"/>
      <c r="G331" s="717"/>
      <c r="H331" s="717"/>
      <c r="I331" s="717"/>
      <c r="J331" s="717"/>
      <c r="K331" s="717"/>
      <c r="L331" s="717"/>
      <c r="M331" s="717"/>
      <c r="N331" s="718"/>
    </row>
    <row r="332" spans="3:14" ht="13.5" customHeight="1" x14ac:dyDescent="0.2">
      <c r="C332" s="716"/>
      <c r="D332" s="717"/>
      <c r="E332" s="717"/>
      <c r="F332" s="717"/>
      <c r="G332" s="717"/>
      <c r="H332" s="717"/>
      <c r="I332" s="717"/>
      <c r="J332" s="717"/>
      <c r="K332" s="717"/>
      <c r="L332" s="717"/>
      <c r="M332" s="717"/>
      <c r="N332" s="718"/>
    </row>
    <row r="333" spans="3:14" ht="13.5" customHeight="1" x14ac:dyDescent="0.2">
      <c r="C333" s="716"/>
      <c r="D333" s="717"/>
      <c r="E333" s="717"/>
      <c r="F333" s="717"/>
      <c r="G333" s="717"/>
      <c r="H333" s="717"/>
      <c r="I333" s="717"/>
      <c r="J333" s="717"/>
      <c r="K333" s="717"/>
      <c r="L333" s="717"/>
      <c r="M333" s="717"/>
      <c r="N333" s="718"/>
    </row>
    <row r="334" spans="3:14" ht="13.5" customHeight="1" x14ac:dyDescent="0.2">
      <c r="C334" s="716"/>
      <c r="D334" s="717"/>
      <c r="E334" s="717"/>
      <c r="F334" s="717"/>
      <c r="G334" s="717"/>
      <c r="H334" s="717"/>
      <c r="I334" s="717"/>
      <c r="J334" s="717"/>
      <c r="K334" s="717"/>
      <c r="L334" s="717"/>
      <c r="M334" s="717"/>
      <c r="N334" s="718"/>
    </row>
    <row r="335" spans="3:14" ht="13.5" customHeight="1" x14ac:dyDescent="0.2">
      <c r="C335" s="716"/>
      <c r="D335" s="717"/>
      <c r="E335" s="717"/>
      <c r="F335" s="717"/>
      <c r="G335" s="717"/>
      <c r="H335" s="717"/>
      <c r="I335" s="717"/>
      <c r="J335" s="717"/>
      <c r="K335" s="717"/>
      <c r="L335" s="717"/>
      <c r="M335" s="717"/>
      <c r="N335" s="718"/>
    </row>
    <row r="336" spans="3:14" ht="13.5" customHeight="1" x14ac:dyDescent="0.2">
      <c r="C336" s="716"/>
      <c r="D336" s="717"/>
      <c r="E336" s="717"/>
      <c r="F336" s="717"/>
      <c r="G336" s="717"/>
      <c r="H336" s="717"/>
      <c r="I336" s="717"/>
      <c r="J336" s="717"/>
      <c r="K336" s="717"/>
      <c r="L336" s="717"/>
      <c r="M336" s="717"/>
      <c r="N336" s="718"/>
    </row>
    <row r="337" spans="3:14" ht="13.5" customHeight="1" x14ac:dyDescent="0.2">
      <c r="C337" s="716"/>
      <c r="D337" s="717"/>
      <c r="E337" s="717"/>
      <c r="F337" s="717"/>
      <c r="G337" s="717"/>
      <c r="H337" s="717"/>
      <c r="I337" s="717"/>
      <c r="J337" s="717"/>
      <c r="K337" s="717"/>
      <c r="L337" s="717"/>
      <c r="M337" s="717"/>
      <c r="N337" s="718"/>
    </row>
    <row r="338" spans="3:14" ht="13.5" customHeight="1" x14ac:dyDescent="0.2">
      <c r="C338" s="716"/>
      <c r="D338" s="717"/>
      <c r="E338" s="717"/>
      <c r="F338" s="717"/>
      <c r="G338" s="717"/>
      <c r="H338" s="717"/>
      <c r="I338" s="717"/>
      <c r="J338" s="717"/>
      <c r="K338" s="717"/>
      <c r="L338" s="717"/>
      <c r="M338" s="717"/>
      <c r="N338" s="718"/>
    </row>
    <row r="339" spans="3:14" ht="13.5" customHeight="1" x14ac:dyDescent="0.2">
      <c r="C339" s="716"/>
      <c r="D339" s="717"/>
      <c r="E339" s="717"/>
      <c r="F339" s="717"/>
      <c r="G339" s="717"/>
      <c r="H339" s="717"/>
      <c r="I339" s="717"/>
      <c r="J339" s="717"/>
      <c r="K339" s="717"/>
      <c r="L339" s="717"/>
      <c r="M339" s="717"/>
      <c r="N339" s="718"/>
    </row>
    <row r="340" spans="3:14" ht="13.5" customHeight="1" x14ac:dyDescent="0.2">
      <c r="C340" s="716"/>
      <c r="D340" s="717"/>
      <c r="E340" s="717"/>
      <c r="F340" s="717"/>
      <c r="G340" s="717"/>
      <c r="H340" s="717"/>
      <c r="I340" s="717"/>
      <c r="J340" s="717"/>
      <c r="K340" s="717"/>
      <c r="L340" s="717"/>
      <c r="M340" s="717"/>
      <c r="N340" s="718"/>
    </row>
    <row r="341" spans="3:14" ht="13.5" customHeight="1" x14ac:dyDescent="0.2">
      <c r="C341" s="716"/>
      <c r="D341" s="717"/>
      <c r="E341" s="717"/>
      <c r="F341" s="717"/>
      <c r="G341" s="717"/>
      <c r="H341" s="717"/>
      <c r="I341" s="717"/>
      <c r="J341" s="717"/>
      <c r="K341" s="717"/>
      <c r="L341" s="717"/>
      <c r="M341" s="717"/>
      <c r="N341" s="718"/>
    </row>
    <row r="342" spans="3:14" ht="13.5" customHeight="1" x14ac:dyDescent="0.2">
      <c r="C342" s="716"/>
      <c r="D342" s="717"/>
      <c r="E342" s="717"/>
      <c r="F342" s="717"/>
      <c r="G342" s="717"/>
      <c r="H342" s="717"/>
      <c r="I342" s="717"/>
      <c r="J342" s="717"/>
      <c r="K342" s="717"/>
      <c r="L342" s="717"/>
      <c r="M342" s="717"/>
      <c r="N342" s="718"/>
    </row>
    <row r="343" spans="3:14" ht="13.5" customHeight="1" x14ac:dyDescent="0.2">
      <c r="C343" s="716"/>
      <c r="D343" s="717"/>
      <c r="E343" s="717"/>
      <c r="F343" s="717"/>
      <c r="G343" s="717"/>
      <c r="H343" s="717"/>
      <c r="I343" s="717"/>
      <c r="J343" s="717"/>
      <c r="K343" s="717"/>
      <c r="L343" s="717"/>
      <c r="M343" s="717"/>
      <c r="N343" s="718"/>
    </row>
    <row r="344" spans="3:14" ht="13.5" customHeight="1" x14ac:dyDescent="0.2">
      <c r="C344" s="716"/>
      <c r="D344" s="717"/>
      <c r="E344" s="717"/>
      <c r="F344" s="717"/>
      <c r="G344" s="717"/>
      <c r="H344" s="717"/>
      <c r="I344" s="717"/>
      <c r="J344" s="717"/>
      <c r="K344" s="717"/>
      <c r="L344" s="717"/>
      <c r="M344" s="717"/>
      <c r="N344" s="718"/>
    </row>
    <row r="345" spans="3:14" ht="13.5" customHeight="1" x14ac:dyDescent="0.2">
      <c r="C345" s="716"/>
      <c r="D345" s="717"/>
      <c r="E345" s="717"/>
      <c r="F345" s="717"/>
      <c r="G345" s="717"/>
      <c r="H345" s="717"/>
      <c r="I345" s="717"/>
      <c r="J345" s="717"/>
      <c r="K345" s="717"/>
      <c r="L345" s="717"/>
      <c r="M345" s="717"/>
      <c r="N345" s="718"/>
    </row>
    <row r="346" spans="3:14" ht="13.5" customHeight="1" x14ac:dyDescent="0.2">
      <c r="C346" s="716"/>
      <c r="D346" s="717"/>
      <c r="E346" s="717"/>
      <c r="F346" s="717"/>
      <c r="G346" s="717"/>
      <c r="H346" s="717"/>
      <c r="I346" s="717"/>
      <c r="J346" s="717"/>
      <c r="K346" s="717"/>
      <c r="L346" s="717"/>
      <c r="M346" s="717"/>
      <c r="N346" s="718"/>
    </row>
    <row r="347" spans="3:14" ht="13.5" customHeight="1" x14ac:dyDescent="0.2">
      <c r="C347" s="716"/>
      <c r="D347" s="717"/>
      <c r="E347" s="717"/>
      <c r="F347" s="717"/>
      <c r="G347" s="717"/>
      <c r="H347" s="717"/>
      <c r="I347" s="717"/>
      <c r="J347" s="717"/>
      <c r="K347" s="717"/>
      <c r="L347" s="717"/>
      <c r="M347" s="717"/>
      <c r="N347" s="718"/>
    </row>
    <row r="348" spans="3:14" ht="13.5" customHeight="1" x14ac:dyDescent="0.2">
      <c r="C348" s="716"/>
      <c r="D348" s="717"/>
      <c r="E348" s="717"/>
      <c r="F348" s="717"/>
      <c r="G348" s="717"/>
      <c r="H348" s="717"/>
      <c r="I348" s="717"/>
      <c r="J348" s="717"/>
      <c r="K348" s="717"/>
      <c r="L348" s="717"/>
      <c r="M348" s="717"/>
      <c r="N348" s="718"/>
    </row>
    <row r="349" spans="3:14" ht="13.5" customHeight="1" x14ac:dyDescent="0.2">
      <c r="C349" s="716"/>
      <c r="D349" s="717"/>
      <c r="E349" s="717"/>
      <c r="F349" s="717"/>
      <c r="G349" s="717"/>
      <c r="H349" s="717"/>
      <c r="I349" s="717"/>
      <c r="J349" s="717"/>
      <c r="K349" s="717"/>
      <c r="L349" s="717"/>
      <c r="M349" s="717"/>
      <c r="N349" s="718"/>
    </row>
    <row r="350" spans="3:14" ht="13.5" customHeight="1" x14ac:dyDescent="0.2">
      <c r="C350" s="716"/>
      <c r="D350" s="717"/>
      <c r="E350" s="717"/>
      <c r="F350" s="717"/>
      <c r="G350" s="717"/>
      <c r="H350" s="717"/>
      <c r="I350" s="717"/>
      <c r="J350" s="717"/>
      <c r="K350" s="717"/>
      <c r="L350" s="717"/>
      <c r="M350" s="717"/>
      <c r="N350" s="718"/>
    </row>
    <row r="351" spans="3:14" ht="13.5" customHeight="1" x14ac:dyDescent="0.2">
      <c r="C351" s="716"/>
      <c r="D351" s="717"/>
      <c r="E351" s="717"/>
      <c r="F351" s="717"/>
      <c r="G351" s="717"/>
      <c r="H351" s="717"/>
      <c r="I351" s="717"/>
      <c r="J351" s="717"/>
      <c r="K351" s="717"/>
      <c r="L351" s="717"/>
      <c r="M351" s="717"/>
      <c r="N351" s="718"/>
    </row>
    <row r="352" spans="3:14" ht="13.5" customHeight="1" x14ac:dyDescent="0.2">
      <c r="C352" s="716"/>
      <c r="D352" s="717"/>
      <c r="E352" s="717"/>
      <c r="F352" s="717"/>
      <c r="G352" s="717"/>
      <c r="H352" s="717"/>
      <c r="I352" s="717"/>
      <c r="J352" s="717"/>
      <c r="K352" s="717"/>
      <c r="L352" s="717"/>
      <c r="M352" s="717"/>
      <c r="N352" s="718"/>
    </row>
    <row r="353" spans="3:14" ht="13.5" customHeight="1" x14ac:dyDescent="0.2">
      <c r="C353" s="716"/>
      <c r="D353" s="717"/>
      <c r="E353" s="717"/>
      <c r="F353" s="717"/>
      <c r="G353" s="717"/>
      <c r="H353" s="717"/>
      <c r="I353" s="717"/>
      <c r="J353" s="717"/>
      <c r="K353" s="717"/>
      <c r="L353" s="717"/>
      <c r="M353" s="717"/>
      <c r="N353" s="718"/>
    </row>
    <row r="354" spans="3:14" ht="13.5" customHeight="1" x14ac:dyDescent="0.2">
      <c r="C354" s="719"/>
      <c r="D354" s="720"/>
      <c r="E354" s="720"/>
      <c r="F354" s="720"/>
      <c r="G354" s="720"/>
      <c r="H354" s="720"/>
      <c r="I354" s="720"/>
      <c r="J354" s="720"/>
      <c r="K354" s="720"/>
      <c r="L354" s="720"/>
      <c r="M354" s="720"/>
      <c r="N354" s="721"/>
    </row>
    <row r="355" spans="3:14" ht="13.5" customHeight="1" x14ac:dyDescent="0.2"/>
    <row r="356" spans="3:14" ht="13.5" customHeight="1" x14ac:dyDescent="0.2"/>
    <row r="357" spans="3:14" ht="13.5" customHeight="1" x14ac:dyDescent="0.2"/>
    <row r="358" spans="3:14" ht="13.5" customHeight="1" x14ac:dyDescent="0.2">
      <c r="C358" s="743" t="s">
        <v>459</v>
      </c>
      <c r="D358" s="744"/>
      <c r="E358" s="744"/>
      <c r="F358" s="744"/>
      <c r="G358" s="744"/>
      <c r="H358" s="744"/>
      <c r="I358" s="744"/>
      <c r="J358" s="744"/>
      <c r="K358" s="744"/>
      <c r="L358" s="744"/>
      <c r="M358" s="744"/>
      <c r="N358" s="745"/>
    </row>
    <row r="359" spans="3:14" ht="13.5" customHeight="1" x14ac:dyDescent="0.2">
      <c r="C359" s="746"/>
      <c r="D359" s="747"/>
      <c r="E359" s="747"/>
      <c r="F359" s="747"/>
      <c r="G359" s="747"/>
      <c r="H359" s="747"/>
      <c r="I359" s="747"/>
      <c r="J359" s="747"/>
      <c r="K359" s="747"/>
      <c r="L359" s="747"/>
      <c r="M359" s="747"/>
      <c r="N359" s="748"/>
    </row>
    <row r="360" spans="3:14" ht="13.5" customHeight="1" x14ac:dyDescent="0.2">
      <c r="C360" s="746"/>
      <c r="D360" s="747"/>
      <c r="E360" s="747"/>
      <c r="F360" s="747"/>
      <c r="G360" s="747"/>
      <c r="H360" s="747"/>
      <c r="I360" s="747"/>
      <c r="J360" s="747"/>
      <c r="K360" s="747"/>
      <c r="L360" s="747"/>
      <c r="M360" s="747"/>
      <c r="N360" s="748"/>
    </row>
    <row r="361" spans="3:14" ht="13.5" customHeight="1" x14ac:dyDescent="0.2">
      <c r="C361" s="746"/>
      <c r="D361" s="747"/>
      <c r="E361" s="747"/>
      <c r="F361" s="747"/>
      <c r="G361" s="747"/>
      <c r="H361" s="747"/>
      <c r="I361" s="747"/>
      <c r="J361" s="747"/>
      <c r="K361" s="747"/>
      <c r="L361" s="747"/>
      <c r="M361" s="747"/>
      <c r="N361" s="748"/>
    </row>
    <row r="362" spans="3:14" ht="13.5" customHeight="1" x14ac:dyDescent="0.2">
      <c r="C362" s="746"/>
      <c r="D362" s="747"/>
      <c r="E362" s="747"/>
      <c r="F362" s="747"/>
      <c r="G362" s="747"/>
      <c r="H362" s="747"/>
      <c r="I362" s="747"/>
      <c r="J362" s="747"/>
      <c r="K362" s="747"/>
      <c r="L362" s="747"/>
      <c r="M362" s="747"/>
      <c r="N362" s="748"/>
    </row>
    <row r="363" spans="3:14" ht="13.5" customHeight="1" x14ac:dyDescent="0.2">
      <c r="C363" s="746"/>
      <c r="D363" s="747"/>
      <c r="E363" s="747"/>
      <c r="F363" s="747"/>
      <c r="G363" s="747"/>
      <c r="H363" s="747"/>
      <c r="I363" s="747"/>
      <c r="J363" s="747"/>
      <c r="K363" s="747"/>
      <c r="L363" s="747"/>
      <c r="M363" s="747"/>
      <c r="N363" s="748"/>
    </row>
    <row r="364" spans="3:14" ht="13.5" customHeight="1" x14ac:dyDescent="0.2">
      <c r="C364" s="746"/>
      <c r="D364" s="747"/>
      <c r="E364" s="747"/>
      <c r="F364" s="747"/>
      <c r="G364" s="747"/>
      <c r="H364" s="747"/>
      <c r="I364" s="747"/>
      <c r="J364" s="747"/>
      <c r="K364" s="747"/>
      <c r="L364" s="747"/>
      <c r="M364" s="747"/>
      <c r="N364" s="748"/>
    </row>
    <row r="365" spans="3:14" ht="13.5" customHeight="1" x14ac:dyDescent="0.2">
      <c r="C365" s="746"/>
      <c r="D365" s="747"/>
      <c r="E365" s="747"/>
      <c r="F365" s="747"/>
      <c r="G365" s="747"/>
      <c r="H365" s="747"/>
      <c r="I365" s="747"/>
      <c r="J365" s="747"/>
      <c r="K365" s="747"/>
      <c r="L365" s="747"/>
      <c r="M365" s="747"/>
      <c r="N365" s="748"/>
    </row>
    <row r="366" spans="3:14" ht="13.5" customHeight="1" x14ac:dyDescent="0.2">
      <c r="C366" s="746"/>
      <c r="D366" s="747"/>
      <c r="E366" s="747"/>
      <c r="F366" s="747"/>
      <c r="G366" s="747"/>
      <c r="H366" s="747"/>
      <c r="I366" s="747"/>
      <c r="J366" s="747"/>
      <c r="K366" s="747"/>
      <c r="L366" s="747"/>
      <c r="M366" s="747"/>
      <c r="N366" s="748"/>
    </row>
    <row r="367" spans="3:14" ht="13.5" customHeight="1" x14ac:dyDescent="0.2">
      <c r="C367" s="746"/>
      <c r="D367" s="747"/>
      <c r="E367" s="747"/>
      <c r="F367" s="747"/>
      <c r="G367" s="747"/>
      <c r="H367" s="747"/>
      <c r="I367" s="747"/>
      <c r="J367" s="747"/>
      <c r="K367" s="747"/>
      <c r="L367" s="747"/>
      <c r="M367" s="747"/>
      <c r="N367" s="748"/>
    </row>
    <row r="368" spans="3:14" ht="13.5" customHeight="1" x14ac:dyDescent="0.2">
      <c r="C368" s="746"/>
      <c r="D368" s="747"/>
      <c r="E368" s="747"/>
      <c r="F368" s="747"/>
      <c r="G368" s="747"/>
      <c r="H368" s="747"/>
      <c r="I368" s="747"/>
      <c r="J368" s="747"/>
      <c r="K368" s="747"/>
      <c r="L368" s="747"/>
      <c r="M368" s="747"/>
      <c r="N368" s="748"/>
    </row>
    <row r="369" spans="3:14" ht="13.5" customHeight="1" x14ac:dyDescent="0.2">
      <c r="C369" s="746"/>
      <c r="D369" s="747"/>
      <c r="E369" s="747"/>
      <c r="F369" s="747"/>
      <c r="G369" s="747"/>
      <c r="H369" s="747"/>
      <c r="I369" s="747"/>
      <c r="J369" s="747"/>
      <c r="K369" s="747"/>
      <c r="L369" s="747"/>
      <c r="M369" s="747"/>
      <c r="N369" s="748"/>
    </row>
    <row r="370" spans="3:14" ht="13.5" customHeight="1" x14ac:dyDescent="0.2">
      <c r="C370" s="746"/>
      <c r="D370" s="747"/>
      <c r="E370" s="747"/>
      <c r="F370" s="747"/>
      <c r="G370" s="747"/>
      <c r="H370" s="747"/>
      <c r="I370" s="747"/>
      <c r="J370" s="747"/>
      <c r="K370" s="747"/>
      <c r="L370" s="747"/>
      <c r="M370" s="747"/>
      <c r="N370" s="748"/>
    </row>
    <row r="371" spans="3:14" ht="13.5" customHeight="1" x14ac:dyDescent="0.2">
      <c r="C371" s="746"/>
      <c r="D371" s="747"/>
      <c r="E371" s="747"/>
      <c r="F371" s="747"/>
      <c r="G371" s="747"/>
      <c r="H371" s="747"/>
      <c r="I371" s="747"/>
      <c r="J371" s="747"/>
      <c r="K371" s="747"/>
      <c r="L371" s="747"/>
      <c r="M371" s="747"/>
      <c r="N371" s="748"/>
    </row>
    <row r="372" spans="3:14" x14ac:dyDescent="0.2">
      <c r="C372" s="746"/>
      <c r="D372" s="747"/>
      <c r="E372" s="747"/>
      <c r="F372" s="747"/>
      <c r="G372" s="747"/>
      <c r="H372" s="747"/>
      <c r="I372" s="747"/>
      <c r="J372" s="747"/>
      <c r="K372" s="747"/>
      <c r="L372" s="747"/>
      <c r="M372" s="747"/>
      <c r="N372" s="748"/>
    </row>
    <row r="373" spans="3:14" ht="13.5" customHeight="1" x14ac:dyDescent="0.2">
      <c r="C373" s="746"/>
      <c r="D373" s="747"/>
      <c r="E373" s="747"/>
      <c r="F373" s="747"/>
      <c r="G373" s="747"/>
      <c r="H373" s="747"/>
      <c r="I373" s="747"/>
      <c r="J373" s="747"/>
      <c r="K373" s="747"/>
      <c r="L373" s="747"/>
      <c r="M373" s="747"/>
      <c r="N373" s="748"/>
    </row>
    <row r="374" spans="3:14" ht="13.5" customHeight="1" x14ac:dyDescent="0.2">
      <c r="C374" s="746"/>
      <c r="D374" s="747"/>
      <c r="E374" s="747"/>
      <c r="F374" s="747"/>
      <c r="G374" s="747"/>
      <c r="H374" s="747"/>
      <c r="I374" s="747"/>
      <c r="J374" s="747"/>
      <c r="K374" s="747"/>
      <c r="L374" s="747"/>
      <c r="M374" s="747"/>
      <c r="N374" s="748"/>
    </row>
    <row r="375" spans="3:14" ht="13.5" customHeight="1" x14ac:dyDescent="0.2">
      <c r="C375" s="746"/>
      <c r="D375" s="747"/>
      <c r="E375" s="747"/>
      <c r="F375" s="747"/>
      <c r="G375" s="747"/>
      <c r="H375" s="747"/>
      <c r="I375" s="747"/>
      <c r="J375" s="747"/>
      <c r="K375" s="747"/>
      <c r="L375" s="747"/>
      <c r="M375" s="747"/>
      <c r="N375" s="748"/>
    </row>
    <row r="376" spans="3:14" ht="13.5" customHeight="1" x14ac:dyDescent="0.2">
      <c r="C376" s="746"/>
      <c r="D376" s="747"/>
      <c r="E376" s="747"/>
      <c r="F376" s="747"/>
      <c r="G376" s="747"/>
      <c r="H376" s="747"/>
      <c r="I376" s="747"/>
      <c r="J376" s="747"/>
      <c r="K376" s="747"/>
      <c r="L376" s="747"/>
      <c r="M376" s="747"/>
      <c r="N376" s="748"/>
    </row>
    <row r="377" spans="3:14" ht="13.5" customHeight="1" x14ac:dyDescent="0.2">
      <c r="C377" s="746"/>
      <c r="D377" s="747"/>
      <c r="E377" s="747"/>
      <c r="F377" s="747"/>
      <c r="G377" s="747"/>
      <c r="H377" s="747"/>
      <c r="I377" s="747"/>
      <c r="J377" s="747"/>
      <c r="K377" s="747"/>
      <c r="L377" s="747"/>
      <c r="M377" s="747"/>
      <c r="N377" s="748"/>
    </row>
    <row r="378" spans="3:14" ht="13.5" customHeight="1" x14ac:dyDescent="0.2">
      <c r="C378" s="746"/>
      <c r="D378" s="747"/>
      <c r="E378" s="747"/>
      <c r="F378" s="747"/>
      <c r="G378" s="747"/>
      <c r="H378" s="747"/>
      <c r="I378" s="747"/>
      <c r="J378" s="747"/>
      <c r="K378" s="747"/>
      <c r="L378" s="747"/>
      <c r="M378" s="747"/>
      <c r="N378" s="748"/>
    </row>
    <row r="379" spans="3:14" ht="13.5" customHeight="1" x14ac:dyDescent="0.2">
      <c r="C379" s="746"/>
      <c r="D379" s="747"/>
      <c r="E379" s="747"/>
      <c r="F379" s="747"/>
      <c r="G379" s="747"/>
      <c r="H379" s="747"/>
      <c r="I379" s="747"/>
      <c r="J379" s="747"/>
      <c r="K379" s="747"/>
      <c r="L379" s="747"/>
      <c r="M379" s="747"/>
      <c r="N379" s="748"/>
    </row>
    <row r="380" spans="3:14" ht="13.5" customHeight="1" x14ac:dyDescent="0.2">
      <c r="C380" s="746"/>
      <c r="D380" s="747"/>
      <c r="E380" s="747"/>
      <c r="F380" s="747"/>
      <c r="G380" s="747"/>
      <c r="H380" s="747"/>
      <c r="I380" s="747"/>
      <c r="J380" s="747"/>
      <c r="K380" s="747"/>
      <c r="L380" s="747"/>
      <c r="M380" s="747"/>
      <c r="N380" s="748"/>
    </row>
    <row r="381" spans="3:14" ht="13.5" customHeight="1" x14ac:dyDescent="0.2">
      <c r="C381" s="746"/>
      <c r="D381" s="747"/>
      <c r="E381" s="747"/>
      <c r="F381" s="747"/>
      <c r="G381" s="747"/>
      <c r="H381" s="747"/>
      <c r="I381" s="747"/>
      <c r="J381" s="747"/>
      <c r="K381" s="747"/>
      <c r="L381" s="747"/>
      <c r="M381" s="747"/>
      <c r="N381" s="748"/>
    </row>
    <row r="382" spans="3:14" ht="13.5" customHeight="1" x14ac:dyDescent="0.2">
      <c r="C382" s="746"/>
      <c r="D382" s="747"/>
      <c r="E382" s="747"/>
      <c r="F382" s="747"/>
      <c r="G382" s="747"/>
      <c r="H382" s="747"/>
      <c r="I382" s="747"/>
      <c r="J382" s="747"/>
      <c r="K382" s="747"/>
      <c r="L382" s="747"/>
      <c r="M382" s="747"/>
      <c r="N382" s="748"/>
    </row>
    <row r="383" spans="3:14" ht="13.5" customHeight="1" x14ac:dyDescent="0.2">
      <c r="C383" s="746"/>
      <c r="D383" s="747"/>
      <c r="E383" s="747"/>
      <c r="F383" s="747"/>
      <c r="G383" s="747"/>
      <c r="H383" s="747"/>
      <c r="I383" s="747"/>
      <c r="J383" s="747"/>
      <c r="K383" s="747"/>
      <c r="L383" s="747"/>
      <c r="M383" s="747"/>
      <c r="N383" s="748"/>
    </row>
    <row r="384" spans="3:14" ht="13.5" customHeight="1" x14ac:dyDescent="0.2">
      <c r="C384" s="746"/>
      <c r="D384" s="747"/>
      <c r="E384" s="747"/>
      <c r="F384" s="747"/>
      <c r="G384" s="747"/>
      <c r="H384" s="747"/>
      <c r="I384" s="747"/>
      <c r="J384" s="747"/>
      <c r="K384" s="747"/>
      <c r="L384" s="747"/>
      <c r="M384" s="747"/>
      <c r="N384" s="748"/>
    </row>
    <row r="385" spans="3:14" ht="13.5" customHeight="1" x14ac:dyDescent="0.2">
      <c r="C385" s="746"/>
      <c r="D385" s="747"/>
      <c r="E385" s="747"/>
      <c r="F385" s="747"/>
      <c r="G385" s="747"/>
      <c r="H385" s="747"/>
      <c r="I385" s="747"/>
      <c r="J385" s="747"/>
      <c r="K385" s="747"/>
      <c r="L385" s="747"/>
      <c r="M385" s="747"/>
      <c r="N385" s="748"/>
    </row>
    <row r="386" spans="3:14" ht="13.5" customHeight="1" x14ac:dyDescent="0.2">
      <c r="C386" s="746"/>
      <c r="D386" s="747"/>
      <c r="E386" s="747"/>
      <c r="F386" s="747"/>
      <c r="G386" s="747"/>
      <c r="H386" s="747"/>
      <c r="I386" s="747"/>
      <c r="J386" s="747"/>
      <c r="K386" s="747"/>
      <c r="L386" s="747"/>
      <c r="M386" s="747"/>
      <c r="N386" s="748"/>
    </row>
    <row r="387" spans="3:14" ht="13.5" customHeight="1" x14ac:dyDescent="0.2">
      <c r="C387" s="746"/>
      <c r="D387" s="747"/>
      <c r="E387" s="747"/>
      <c r="F387" s="747"/>
      <c r="G387" s="747"/>
      <c r="H387" s="747"/>
      <c r="I387" s="747"/>
      <c r="J387" s="747"/>
      <c r="K387" s="747"/>
      <c r="L387" s="747"/>
      <c r="M387" s="747"/>
      <c r="N387" s="748"/>
    </row>
    <row r="388" spans="3:14" ht="13.5" customHeight="1" x14ac:dyDescent="0.2">
      <c r="C388" s="746"/>
      <c r="D388" s="747"/>
      <c r="E388" s="747"/>
      <c r="F388" s="747"/>
      <c r="G388" s="747"/>
      <c r="H388" s="747"/>
      <c r="I388" s="747"/>
      <c r="J388" s="747"/>
      <c r="K388" s="747"/>
      <c r="L388" s="747"/>
      <c r="M388" s="747"/>
      <c r="N388" s="748"/>
    </row>
    <row r="389" spans="3:14" ht="13.5" customHeight="1" x14ac:dyDescent="0.2">
      <c r="C389" s="746"/>
      <c r="D389" s="747"/>
      <c r="E389" s="747"/>
      <c r="F389" s="747"/>
      <c r="G389" s="747"/>
      <c r="H389" s="747"/>
      <c r="I389" s="747"/>
      <c r="J389" s="747"/>
      <c r="K389" s="747"/>
      <c r="L389" s="747"/>
      <c r="M389" s="747"/>
      <c r="N389" s="748"/>
    </row>
    <row r="390" spans="3:14" ht="13.5" customHeight="1" x14ac:dyDescent="0.2">
      <c r="C390" s="746"/>
      <c r="D390" s="747"/>
      <c r="E390" s="747"/>
      <c r="F390" s="747"/>
      <c r="G390" s="747"/>
      <c r="H390" s="747"/>
      <c r="I390" s="747"/>
      <c r="J390" s="747"/>
      <c r="K390" s="747"/>
      <c r="L390" s="747"/>
      <c r="M390" s="747"/>
      <c r="N390" s="748"/>
    </row>
    <row r="391" spans="3:14" ht="13.5" customHeight="1" x14ac:dyDescent="0.2">
      <c r="C391" s="746"/>
      <c r="D391" s="747"/>
      <c r="E391" s="747"/>
      <c r="F391" s="747"/>
      <c r="G391" s="747"/>
      <c r="H391" s="747"/>
      <c r="I391" s="747"/>
      <c r="J391" s="747"/>
      <c r="K391" s="747"/>
      <c r="L391" s="747"/>
      <c r="M391" s="747"/>
      <c r="N391" s="748"/>
    </row>
    <row r="392" spans="3:14" ht="13.5" customHeight="1" x14ac:dyDescent="0.2">
      <c r="C392" s="746"/>
      <c r="D392" s="747"/>
      <c r="E392" s="747"/>
      <c r="F392" s="747"/>
      <c r="G392" s="747"/>
      <c r="H392" s="747"/>
      <c r="I392" s="747"/>
      <c r="J392" s="747"/>
      <c r="K392" s="747"/>
      <c r="L392" s="747"/>
      <c r="M392" s="747"/>
      <c r="N392" s="748"/>
    </row>
    <row r="393" spans="3:14" ht="13.5" customHeight="1" x14ac:dyDescent="0.2">
      <c r="C393" s="746"/>
      <c r="D393" s="747"/>
      <c r="E393" s="747"/>
      <c r="F393" s="747"/>
      <c r="G393" s="747"/>
      <c r="H393" s="747"/>
      <c r="I393" s="747"/>
      <c r="J393" s="747"/>
      <c r="K393" s="747"/>
      <c r="L393" s="747"/>
      <c r="M393" s="747"/>
      <c r="N393" s="748"/>
    </row>
    <row r="394" spans="3:14" ht="13.5" customHeight="1" x14ac:dyDescent="0.2">
      <c r="C394" s="746"/>
      <c r="D394" s="747"/>
      <c r="E394" s="747"/>
      <c r="F394" s="747"/>
      <c r="G394" s="747"/>
      <c r="H394" s="747"/>
      <c r="I394" s="747"/>
      <c r="J394" s="747"/>
      <c r="K394" s="747"/>
      <c r="L394" s="747"/>
      <c r="M394" s="747"/>
      <c r="N394" s="748"/>
    </row>
    <row r="395" spans="3:14" ht="13.5" customHeight="1" x14ac:dyDescent="0.2">
      <c r="C395" s="746"/>
      <c r="D395" s="747"/>
      <c r="E395" s="747"/>
      <c r="F395" s="747"/>
      <c r="G395" s="747"/>
      <c r="H395" s="747"/>
      <c r="I395" s="747"/>
      <c r="J395" s="747"/>
      <c r="K395" s="747"/>
      <c r="L395" s="747"/>
      <c r="M395" s="747"/>
      <c r="N395" s="748"/>
    </row>
    <row r="396" spans="3:14" ht="13.5" customHeight="1" x14ac:dyDescent="0.2">
      <c r="C396" s="746"/>
      <c r="D396" s="747"/>
      <c r="E396" s="747"/>
      <c r="F396" s="747"/>
      <c r="G396" s="747"/>
      <c r="H396" s="747"/>
      <c r="I396" s="747"/>
      <c r="J396" s="747"/>
      <c r="K396" s="747"/>
      <c r="L396" s="747"/>
      <c r="M396" s="747"/>
      <c r="N396" s="748"/>
    </row>
    <row r="397" spans="3:14" ht="13.5" customHeight="1" x14ac:dyDescent="0.2">
      <c r="C397" s="746"/>
      <c r="D397" s="747"/>
      <c r="E397" s="747"/>
      <c r="F397" s="747"/>
      <c r="G397" s="747"/>
      <c r="H397" s="747"/>
      <c r="I397" s="747"/>
      <c r="J397" s="747"/>
      <c r="K397" s="747"/>
      <c r="L397" s="747"/>
      <c r="M397" s="747"/>
      <c r="N397" s="748"/>
    </row>
    <row r="398" spans="3:14" ht="13.5" customHeight="1" x14ac:dyDescent="0.2">
      <c r="C398" s="746"/>
      <c r="D398" s="747"/>
      <c r="E398" s="747"/>
      <c r="F398" s="747"/>
      <c r="G398" s="747"/>
      <c r="H398" s="747"/>
      <c r="I398" s="747"/>
      <c r="J398" s="747"/>
      <c r="K398" s="747"/>
      <c r="L398" s="747"/>
      <c r="M398" s="747"/>
      <c r="N398" s="748"/>
    </row>
    <row r="399" spans="3:14" ht="13.5" customHeight="1" x14ac:dyDescent="0.2">
      <c r="C399" s="746"/>
      <c r="D399" s="747"/>
      <c r="E399" s="747"/>
      <c r="F399" s="747"/>
      <c r="G399" s="747"/>
      <c r="H399" s="747"/>
      <c r="I399" s="747"/>
      <c r="J399" s="747"/>
      <c r="K399" s="747"/>
      <c r="L399" s="747"/>
      <c r="M399" s="747"/>
      <c r="N399" s="748"/>
    </row>
    <row r="400" spans="3:14" ht="13.5" customHeight="1" x14ac:dyDescent="0.2">
      <c r="C400" s="746"/>
      <c r="D400" s="747"/>
      <c r="E400" s="747"/>
      <c r="F400" s="747"/>
      <c r="G400" s="747"/>
      <c r="H400" s="747"/>
      <c r="I400" s="747"/>
      <c r="J400" s="747"/>
      <c r="K400" s="747"/>
      <c r="L400" s="747"/>
      <c r="M400" s="747"/>
      <c r="N400" s="748"/>
    </row>
    <row r="401" spans="3:14" ht="13.5" customHeight="1" x14ac:dyDescent="0.2">
      <c r="C401" s="746"/>
      <c r="D401" s="747"/>
      <c r="E401" s="747"/>
      <c r="F401" s="747"/>
      <c r="G401" s="747"/>
      <c r="H401" s="747"/>
      <c r="I401" s="747"/>
      <c r="J401" s="747"/>
      <c r="K401" s="747"/>
      <c r="L401" s="747"/>
      <c r="M401" s="747"/>
      <c r="N401" s="748"/>
    </row>
    <row r="402" spans="3:14" ht="13.5" customHeight="1" x14ac:dyDescent="0.2">
      <c r="C402" s="746"/>
      <c r="D402" s="747"/>
      <c r="E402" s="747"/>
      <c r="F402" s="747"/>
      <c r="G402" s="747"/>
      <c r="H402" s="747"/>
      <c r="I402" s="747"/>
      <c r="J402" s="747"/>
      <c r="K402" s="747"/>
      <c r="L402" s="747"/>
      <c r="M402" s="747"/>
      <c r="N402" s="748"/>
    </row>
    <row r="403" spans="3:14" ht="13.5" customHeight="1" x14ac:dyDescent="0.2">
      <c r="C403" s="746"/>
      <c r="D403" s="747"/>
      <c r="E403" s="747"/>
      <c r="F403" s="747"/>
      <c r="G403" s="747"/>
      <c r="H403" s="747"/>
      <c r="I403" s="747"/>
      <c r="J403" s="747"/>
      <c r="K403" s="747"/>
      <c r="L403" s="747"/>
      <c r="M403" s="747"/>
      <c r="N403" s="748"/>
    </row>
    <row r="404" spans="3:14" ht="13.5" customHeight="1" x14ac:dyDescent="0.2">
      <c r="C404" s="746"/>
      <c r="D404" s="747"/>
      <c r="E404" s="747"/>
      <c r="F404" s="747"/>
      <c r="G404" s="747"/>
      <c r="H404" s="747"/>
      <c r="I404" s="747"/>
      <c r="J404" s="747"/>
      <c r="K404" s="747"/>
      <c r="L404" s="747"/>
      <c r="M404" s="747"/>
      <c r="N404" s="748"/>
    </row>
    <row r="405" spans="3:14" ht="13.5" customHeight="1" x14ac:dyDescent="0.2">
      <c r="C405" s="746"/>
      <c r="D405" s="747"/>
      <c r="E405" s="747"/>
      <c r="F405" s="747"/>
      <c r="G405" s="747"/>
      <c r="H405" s="747"/>
      <c r="I405" s="747"/>
      <c r="J405" s="747"/>
      <c r="K405" s="747"/>
      <c r="L405" s="747"/>
      <c r="M405" s="747"/>
      <c r="N405" s="748"/>
    </row>
    <row r="406" spans="3:14" ht="13.5" customHeight="1" x14ac:dyDescent="0.2">
      <c r="C406" s="746"/>
      <c r="D406" s="747"/>
      <c r="E406" s="747"/>
      <c r="F406" s="747"/>
      <c r="G406" s="747"/>
      <c r="H406" s="747"/>
      <c r="I406" s="747"/>
      <c r="J406" s="747"/>
      <c r="K406" s="747"/>
      <c r="L406" s="747"/>
      <c r="M406" s="747"/>
      <c r="N406" s="748"/>
    </row>
    <row r="407" spans="3:14" ht="13.5" customHeight="1" x14ac:dyDescent="0.2">
      <c r="C407" s="746"/>
      <c r="D407" s="747"/>
      <c r="E407" s="747"/>
      <c r="F407" s="747"/>
      <c r="G407" s="747"/>
      <c r="H407" s="747"/>
      <c r="I407" s="747"/>
      <c r="J407" s="747"/>
      <c r="K407" s="747"/>
      <c r="L407" s="747"/>
      <c r="M407" s="747"/>
      <c r="N407" s="748"/>
    </row>
    <row r="408" spans="3:14" ht="13.5" customHeight="1" x14ac:dyDescent="0.2">
      <c r="C408" s="746"/>
      <c r="D408" s="747"/>
      <c r="E408" s="747"/>
      <c r="F408" s="747"/>
      <c r="G408" s="747"/>
      <c r="H408" s="747"/>
      <c r="I408" s="747"/>
      <c r="J408" s="747"/>
      <c r="K408" s="747"/>
      <c r="L408" s="747"/>
      <c r="M408" s="747"/>
      <c r="N408" s="748"/>
    </row>
    <row r="409" spans="3:14" ht="13.5" customHeight="1" x14ac:dyDescent="0.2">
      <c r="C409" s="749"/>
      <c r="D409" s="750"/>
      <c r="E409" s="750"/>
      <c r="F409" s="750"/>
      <c r="G409" s="750"/>
      <c r="H409" s="750"/>
      <c r="I409" s="750"/>
      <c r="J409" s="750"/>
      <c r="K409" s="750"/>
      <c r="L409" s="750"/>
      <c r="M409" s="750"/>
      <c r="N409" s="751"/>
    </row>
    <row r="410" spans="3:14" ht="13.5" customHeight="1" x14ac:dyDescent="0.2"/>
    <row r="411" spans="3:14" ht="13.5" customHeight="1" x14ac:dyDescent="0.2"/>
    <row r="412" spans="3:14" x14ac:dyDescent="0.2">
      <c r="C412" s="728" t="s">
        <v>224</v>
      </c>
      <c r="D412" s="729"/>
      <c r="E412" s="729"/>
      <c r="F412" s="729"/>
      <c r="G412" s="729"/>
      <c r="H412" s="729"/>
      <c r="I412" s="729"/>
      <c r="J412" s="729"/>
      <c r="K412" s="729"/>
      <c r="L412" s="729"/>
      <c r="M412" s="729"/>
      <c r="N412" s="730"/>
    </row>
    <row r="413" spans="3:14" x14ac:dyDescent="0.2">
      <c r="C413" s="731"/>
      <c r="D413" s="732"/>
      <c r="E413" s="732"/>
      <c r="F413" s="732"/>
      <c r="G413" s="732"/>
      <c r="H413" s="732"/>
      <c r="I413" s="732"/>
      <c r="J413" s="732"/>
      <c r="K413" s="732"/>
      <c r="L413" s="732"/>
      <c r="M413" s="732"/>
      <c r="N413" s="733"/>
    </row>
    <row r="414" spans="3:14" x14ac:dyDescent="0.2">
      <c r="C414" s="731"/>
      <c r="D414" s="732"/>
      <c r="E414" s="732"/>
      <c r="F414" s="732"/>
      <c r="G414" s="732"/>
      <c r="H414" s="732"/>
      <c r="I414" s="732"/>
      <c r="J414" s="732"/>
      <c r="K414" s="732"/>
      <c r="L414" s="732"/>
      <c r="M414" s="732"/>
      <c r="N414" s="733"/>
    </row>
    <row r="415" spans="3:14" x14ac:dyDescent="0.2">
      <c r="C415" s="731"/>
      <c r="D415" s="732"/>
      <c r="E415" s="732"/>
      <c r="F415" s="732"/>
      <c r="G415" s="732"/>
      <c r="H415" s="732"/>
      <c r="I415" s="732"/>
      <c r="J415" s="732"/>
      <c r="K415" s="732"/>
      <c r="L415" s="732"/>
      <c r="M415" s="732"/>
      <c r="N415" s="733"/>
    </row>
    <row r="416" spans="3:14" x14ac:dyDescent="0.2">
      <c r="C416" s="731"/>
      <c r="D416" s="732"/>
      <c r="E416" s="732"/>
      <c r="F416" s="732"/>
      <c r="G416" s="732"/>
      <c r="H416" s="732"/>
      <c r="I416" s="732"/>
      <c r="J416" s="732"/>
      <c r="K416" s="732"/>
      <c r="L416" s="732"/>
      <c r="M416" s="732"/>
      <c r="N416" s="733"/>
    </row>
    <row r="417" spans="3:14" x14ac:dyDescent="0.2">
      <c r="C417" s="731"/>
      <c r="D417" s="732"/>
      <c r="E417" s="732"/>
      <c r="F417" s="732"/>
      <c r="G417" s="732"/>
      <c r="H417" s="732"/>
      <c r="I417" s="732"/>
      <c r="J417" s="732"/>
      <c r="K417" s="732"/>
      <c r="L417" s="732"/>
      <c r="M417" s="732"/>
      <c r="N417" s="733"/>
    </row>
    <row r="418" spans="3:14" x14ac:dyDescent="0.2">
      <c r="C418" s="731"/>
      <c r="D418" s="732"/>
      <c r="E418" s="732"/>
      <c r="F418" s="732"/>
      <c r="G418" s="732"/>
      <c r="H418" s="732"/>
      <c r="I418" s="732"/>
      <c r="J418" s="732"/>
      <c r="K418" s="732"/>
      <c r="L418" s="732"/>
      <c r="M418" s="732"/>
      <c r="N418" s="733"/>
    </row>
    <row r="419" spans="3:14" x14ac:dyDescent="0.2">
      <c r="C419" s="731"/>
      <c r="D419" s="732"/>
      <c r="E419" s="732"/>
      <c r="F419" s="732"/>
      <c r="G419" s="732"/>
      <c r="H419" s="732"/>
      <c r="I419" s="732"/>
      <c r="J419" s="732"/>
      <c r="K419" s="732"/>
      <c r="L419" s="732"/>
      <c r="M419" s="732"/>
      <c r="N419" s="733"/>
    </row>
    <row r="420" spans="3:14" x14ac:dyDescent="0.2">
      <c r="C420" s="734"/>
      <c r="D420" s="735"/>
      <c r="E420" s="735"/>
      <c r="F420" s="735"/>
      <c r="G420" s="735"/>
      <c r="H420" s="735"/>
      <c r="I420" s="735"/>
      <c r="J420" s="735"/>
      <c r="K420" s="735"/>
      <c r="L420" s="735"/>
      <c r="M420" s="735"/>
      <c r="N420" s="736"/>
    </row>
    <row r="421" spans="3:14" x14ac:dyDescent="0.2">
      <c r="F421" s="285"/>
      <c r="G421" s="285"/>
      <c r="H421" s="285"/>
      <c r="I421" s="285"/>
      <c r="J421" s="285"/>
      <c r="K421" s="285"/>
    </row>
    <row r="422" spans="3:14" x14ac:dyDescent="0.2">
      <c r="F422" s="285"/>
      <c r="G422" s="285"/>
      <c r="H422" s="285"/>
      <c r="I422" s="285"/>
      <c r="J422" s="285"/>
      <c r="K422" s="285"/>
    </row>
    <row r="423" spans="3:14" x14ac:dyDescent="0.2">
      <c r="F423" s="285"/>
      <c r="G423" s="285"/>
      <c r="H423" s="285"/>
      <c r="I423" s="285"/>
      <c r="J423" s="285"/>
      <c r="K423" s="285"/>
    </row>
    <row r="424" spans="3:14" x14ac:dyDescent="0.2">
      <c r="F424" s="285"/>
      <c r="G424" s="285"/>
      <c r="H424" s="285"/>
      <c r="I424" s="285"/>
      <c r="J424" s="285"/>
      <c r="K424" s="285"/>
    </row>
    <row r="425" spans="3:14" x14ac:dyDescent="0.2">
      <c r="F425" s="285"/>
      <c r="G425" s="285"/>
      <c r="H425" s="285"/>
      <c r="I425" s="285"/>
      <c r="J425" s="285"/>
      <c r="K425" s="285"/>
    </row>
    <row r="426" spans="3:14" x14ac:dyDescent="0.2">
      <c r="F426" s="489"/>
      <c r="G426" s="285"/>
      <c r="H426" s="285"/>
      <c r="I426" s="285"/>
      <c r="J426" s="285"/>
      <c r="K426" s="285"/>
    </row>
    <row r="427" spans="3:14" x14ac:dyDescent="0.2">
      <c r="F427" s="489"/>
      <c r="G427" s="285"/>
      <c r="H427" s="285"/>
      <c r="I427" s="285"/>
      <c r="J427" s="285"/>
      <c r="K427" s="285"/>
    </row>
    <row r="428" spans="3:14" x14ac:dyDescent="0.2">
      <c r="F428" s="489"/>
      <c r="G428" s="285"/>
      <c r="H428" s="285"/>
      <c r="I428" s="285"/>
      <c r="J428" s="285"/>
      <c r="K428" s="285"/>
    </row>
    <row r="429" spans="3:14" x14ac:dyDescent="0.2">
      <c r="F429" s="489"/>
      <c r="G429" s="285"/>
      <c r="H429" s="285"/>
      <c r="I429" s="285"/>
      <c r="J429" s="285"/>
      <c r="K429" s="285"/>
    </row>
    <row r="430" spans="3:14" x14ac:dyDescent="0.2">
      <c r="F430" s="489"/>
      <c r="G430" s="285"/>
      <c r="H430" s="285"/>
      <c r="I430" s="285"/>
      <c r="J430" s="285"/>
      <c r="K430" s="285"/>
    </row>
    <row r="431" spans="3:14" x14ac:dyDescent="0.2">
      <c r="F431" s="489"/>
      <c r="G431" s="285"/>
      <c r="H431" s="285"/>
      <c r="I431" s="285"/>
      <c r="J431" s="285"/>
      <c r="K431" s="285"/>
    </row>
    <row r="432" spans="3:14" x14ac:dyDescent="0.2">
      <c r="F432" s="489"/>
      <c r="G432" s="285"/>
      <c r="H432" s="285"/>
      <c r="I432" s="285"/>
      <c r="J432" s="285"/>
      <c r="K432" s="285"/>
    </row>
    <row r="433" spans="6:11" x14ac:dyDescent="0.2">
      <c r="F433" s="285" t="s">
        <v>364</v>
      </c>
      <c r="G433" s="285"/>
      <c r="H433" s="285"/>
      <c r="I433" s="285"/>
      <c r="J433" s="285"/>
      <c r="K433" s="285"/>
    </row>
    <row r="434" spans="6:11" x14ac:dyDescent="0.2">
      <c r="F434" s="285" t="s">
        <v>175</v>
      </c>
      <c r="G434" s="285"/>
      <c r="H434" s="285"/>
      <c r="I434" s="285"/>
      <c r="J434" s="285"/>
      <c r="K434" s="285" t="s">
        <v>72</v>
      </c>
    </row>
    <row r="435" spans="6:11" x14ac:dyDescent="0.2">
      <c r="F435" s="285" t="s">
        <v>176</v>
      </c>
      <c r="G435" s="285"/>
      <c r="H435" s="285"/>
      <c r="I435" s="285"/>
      <c r="J435" s="285"/>
      <c r="K435" s="285"/>
    </row>
    <row r="436" spans="6:11" x14ac:dyDescent="0.2">
      <c r="F436" s="285" t="s">
        <v>177</v>
      </c>
      <c r="G436" s="285"/>
      <c r="H436" s="285"/>
      <c r="I436" s="285"/>
      <c r="J436" s="285"/>
      <c r="K436" s="285"/>
    </row>
    <row r="437" spans="6:11" x14ac:dyDescent="0.2">
      <c r="F437" s="285" t="s">
        <v>178</v>
      </c>
      <c r="G437" s="285"/>
      <c r="H437" s="285"/>
      <c r="I437" s="285"/>
      <c r="J437" s="285"/>
      <c r="K437" s="285"/>
    </row>
    <row r="438" spans="6:11" x14ac:dyDescent="0.2">
      <c r="F438" s="285" t="s">
        <v>179</v>
      </c>
      <c r="G438" s="285"/>
      <c r="H438" s="285"/>
      <c r="I438" s="285"/>
      <c r="J438" s="285"/>
      <c r="K438" s="285"/>
    </row>
    <row r="439" spans="6:11" x14ac:dyDescent="0.2">
      <c r="F439" s="285" t="s">
        <v>180</v>
      </c>
      <c r="G439" s="285"/>
      <c r="H439" s="285"/>
      <c r="I439" s="285"/>
      <c r="J439" s="285"/>
      <c r="K439" s="285"/>
    </row>
    <row r="440" spans="6:11" x14ac:dyDescent="0.2">
      <c r="F440" s="285" t="s">
        <v>181</v>
      </c>
      <c r="G440" s="285"/>
      <c r="H440" s="285"/>
      <c r="I440" s="285"/>
      <c r="J440" s="285"/>
      <c r="K440" s="285"/>
    </row>
    <row r="441" spans="6:11" x14ac:dyDescent="0.2">
      <c r="F441" s="285" t="s">
        <v>182</v>
      </c>
      <c r="G441" s="285"/>
      <c r="H441" s="285"/>
      <c r="I441" s="285"/>
      <c r="J441" s="285"/>
      <c r="K441" s="285"/>
    </row>
    <row r="442" spans="6:11" x14ac:dyDescent="0.2">
      <c r="F442" s="285" t="s">
        <v>183</v>
      </c>
      <c r="G442" s="285"/>
      <c r="H442" s="285"/>
      <c r="I442" s="285"/>
      <c r="J442" s="285"/>
      <c r="K442" s="285"/>
    </row>
    <row r="443" spans="6:11" x14ac:dyDescent="0.2">
      <c r="F443" s="285" t="s">
        <v>1</v>
      </c>
      <c r="G443" s="285"/>
      <c r="H443" s="285"/>
      <c r="I443" s="285"/>
      <c r="J443" s="285"/>
      <c r="K443" s="285"/>
    </row>
    <row r="444" spans="6:11" x14ac:dyDescent="0.2">
      <c r="F444" s="285" t="s">
        <v>2</v>
      </c>
      <c r="G444" s="285"/>
      <c r="H444" s="285"/>
      <c r="I444" s="285"/>
      <c r="J444" s="285"/>
      <c r="K444" s="285"/>
    </row>
    <row r="445" spans="6:11" x14ac:dyDescent="0.2">
      <c r="F445" s="285" t="s">
        <v>3</v>
      </c>
      <c r="G445" s="285"/>
      <c r="H445" s="285"/>
      <c r="I445" s="285"/>
      <c r="J445" s="285"/>
      <c r="K445" s="285"/>
    </row>
    <row r="446" spans="6:11" x14ac:dyDescent="0.2">
      <c r="F446" s="285" t="s">
        <v>4</v>
      </c>
      <c r="G446" s="285"/>
      <c r="H446" s="285"/>
      <c r="I446" s="285"/>
      <c r="J446" s="285"/>
      <c r="K446" s="285"/>
    </row>
    <row r="447" spans="6:11" x14ac:dyDescent="0.2">
      <c r="F447" s="285" t="s">
        <v>5</v>
      </c>
      <c r="G447" s="285"/>
      <c r="H447" s="285"/>
      <c r="I447" s="285"/>
      <c r="J447" s="285"/>
      <c r="K447" s="285"/>
    </row>
    <row r="448" spans="6:11" x14ac:dyDescent="0.2">
      <c r="F448" s="285" t="s">
        <v>6</v>
      </c>
      <c r="G448" s="285"/>
      <c r="H448" s="285"/>
      <c r="I448" s="285"/>
      <c r="J448" s="285"/>
      <c r="K448" s="285"/>
    </row>
    <row r="449" spans="6:11" x14ac:dyDescent="0.2">
      <c r="F449" s="285" t="s">
        <v>7</v>
      </c>
      <c r="G449" s="285"/>
      <c r="H449" s="285"/>
      <c r="I449" s="285"/>
      <c r="J449" s="285"/>
      <c r="K449" s="285"/>
    </row>
    <row r="450" spans="6:11" x14ac:dyDescent="0.2">
      <c r="F450" s="285" t="s">
        <v>8</v>
      </c>
      <c r="G450" s="285"/>
      <c r="H450" s="285"/>
      <c r="I450" s="285"/>
      <c r="J450" s="285"/>
      <c r="K450" s="285"/>
    </row>
    <row r="451" spans="6:11" x14ac:dyDescent="0.2">
      <c r="F451" s="285" t="s">
        <v>9</v>
      </c>
      <c r="G451" s="285"/>
      <c r="H451" s="285"/>
      <c r="I451" s="285"/>
      <c r="J451" s="285"/>
      <c r="K451" s="285"/>
    </row>
    <row r="452" spans="6:11" x14ac:dyDescent="0.2">
      <c r="F452" s="285" t="s">
        <v>10</v>
      </c>
      <c r="G452" s="285"/>
      <c r="H452" s="285"/>
      <c r="I452" s="285"/>
      <c r="J452" s="285"/>
      <c r="K452" s="285"/>
    </row>
    <row r="453" spans="6:11" x14ac:dyDescent="0.2">
      <c r="F453" s="285" t="s">
        <v>11</v>
      </c>
      <c r="G453" s="285"/>
      <c r="H453" s="285"/>
      <c r="I453" s="285"/>
      <c r="J453" s="285"/>
      <c r="K453" s="285"/>
    </row>
    <row r="454" spans="6:11" x14ac:dyDescent="0.2">
      <c r="F454" s="285" t="s">
        <v>12</v>
      </c>
      <c r="G454" s="285"/>
      <c r="H454" s="285"/>
      <c r="I454" s="285"/>
      <c r="J454" s="285"/>
      <c r="K454" s="285"/>
    </row>
    <row r="455" spans="6:11" x14ac:dyDescent="0.2">
      <c r="F455" s="285" t="s">
        <v>13</v>
      </c>
      <c r="G455" s="285"/>
      <c r="H455" s="285"/>
      <c r="I455" s="285"/>
      <c r="J455" s="285"/>
      <c r="K455" s="285"/>
    </row>
    <row r="456" spans="6:11" x14ac:dyDescent="0.2">
      <c r="F456" s="285" t="s">
        <v>14</v>
      </c>
      <c r="G456" s="285"/>
      <c r="H456" s="285"/>
      <c r="I456" s="285"/>
      <c r="J456" s="285"/>
      <c r="K456" s="285"/>
    </row>
    <row r="457" spans="6:11" x14ac:dyDescent="0.2">
      <c r="F457" s="285" t="s">
        <v>15</v>
      </c>
      <c r="G457" s="285"/>
      <c r="H457" s="285"/>
      <c r="I457" s="285"/>
      <c r="J457" s="285"/>
      <c r="K457" s="285"/>
    </row>
    <row r="458" spans="6:11" x14ac:dyDescent="0.2">
      <c r="F458" s="285" t="s">
        <v>16</v>
      </c>
      <c r="G458" s="285"/>
      <c r="H458" s="285"/>
      <c r="I458" s="285"/>
      <c r="J458" s="285"/>
      <c r="K458" s="285"/>
    </row>
    <row r="459" spans="6:11" x14ac:dyDescent="0.2">
      <c r="F459" s="285" t="s">
        <v>17</v>
      </c>
      <c r="G459" s="285"/>
      <c r="H459" s="285"/>
      <c r="I459" s="285"/>
      <c r="J459" s="285"/>
      <c r="K459" s="285"/>
    </row>
    <row r="460" spans="6:11" x14ac:dyDescent="0.2">
      <c r="F460" s="285" t="s">
        <v>18</v>
      </c>
      <c r="G460" s="285"/>
      <c r="H460" s="285"/>
      <c r="I460" s="285"/>
      <c r="J460" s="285"/>
      <c r="K460" s="285"/>
    </row>
    <row r="461" spans="6:11" x14ac:dyDescent="0.2">
      <c r="F461" s="285" t="s">
        <v>19</v>
      </c>
      <c r="G461" s="285"/>
      <c r="H461" s="285"/>
      <c r="I461" s="285"/>
      <c r="J461" s="285"/>
      <c r="K461" s="285"/>
    </row>
    <row r="462" spans="6:11" x14ac:dyDescent="0.2">
      <c r="F462" s="285" t="s">
        <v>20</v>
      </c>
      <c r="G462" s="285"/>
      <c r="H462" s="285"/>
      <c r="I462" s="285"/>
      <c r="J462" s="285"/>
      <c r="K462" s="285"/>
    </row>
    <row r="463" spans="6:11" x14ac:dyDescent="0.2">
      <c r="F463" s="285" t="s">
        <v>21</v>
      </c>
      <c r="G463" s="285"/>
      <c r="H463" s="285"/>
      <c r="I463" s="285"/>
      <c r="J463" s="285"/>
      <c r="K463" s="285"/>
    </row>
    <row r="464" spans="6:11" x14ac:dyDescent="0.2">
      <c r="F464" s="285" t="s">
        <v>22</v>
      </c>
      <c r="G464" s="285"/>
      <c r="H464" s="285"/>
      <c r="I464" s="285"/>
      <c r="J464" s="285"/>
      <c r="K464" s="285"/>
    </row>
    <row r="465" spans="6:11" x14ac:dyDescent="0.2">
      <c r="F465" s="285" t="s">
        <v>23</v>
      </c>
      <c r="G465" s="285"/>
      <c r="H465" s="285"/>
      <c r="I465" s="285"/>
      <c r="J465" s="285"/>
      <c r="K465" s="285"/>
    </row>
    <row r="466" spans="6:11" x14ac:dyDescent="0.2">
      <c r="F466" s="285" t="s">
        <v>24</v>
      </c>
      <c r="G466" s="285"/>
      <c r="H466" s="285"/>
      <c r="I466" s="285"/>
      <c r="J466" s="285"/>
      <c r="K466" s="285"/>
    </row>
    <row r="467" spans="6:11" x14ac:dyDescent="0.2">
      <c r="F467" s="285" t="s">
        <v>25</v>
      </c>
      <c r="G467" s="285"/>
      <c r="H467" s="285"/>
      <c r="I467" s="285"/>
      <c r="J467" s="285"/>
      <c r="K467" s="285"/>
    </row>
    <row r="468" spans="6:11" x14ac:dyDescent="0.2">
      <c r="F468" s="285" t="s">
        <v>26</v>
      </c>
      <c r="G468" s="285"/>
      <c r="H468" s="285"/>
      <c r="I468" s="285"/>
      <c r="J468" s="285"/>
      <c r="K468" s="285"/>
    </row>
    <row r="469" spans="6:11" x14ac:dyDescent="0.2">
      <c r="F469" s="285" t="s">
        <v>27</v>
      </c>
      <c r="G469" s="285"/>
      <c r="H469" s="285"/>
      <c r="I469" s="285"/>
      <c r="J469" s="285"/>
      <c r="K469" s="285"/>
    </row>
    <row r="470" spans="6:11" x14ac:dyDescent="0.2">
      <c r="F470" s="285" t="s">
        <v>28</v>
      </c>
      <c r="G470" s="285"/>
      <c r="H470" s="285"/>
      <c r="I470" s="285"/>
      <c r="J470" s="285"/>
      <c r="K470" s="285"/>
    </row>
    <row r="471" spans="6:11" x14ac:dyDescent="0.2">
      <c r="F471" s="285" t="s">
        <v>29</v>
      </c>
      <c r="G471" s="285"/>
      <c r="H471" s="285"/>
      <c r="I471" s="285"/>
      <c r="J471" s="285"/>
      <c r="K471" s="285"/>
    </row>
    <row r="472" spans="6:11" x14ac:dyDescent="0.2">
      <c r="F472" s="285" t="s">
        <v>30</v>
      </c>
      <c r="G472" s="285"/>
      <c r="H472" s="285"/>
      <c r="I472" s="285"/>
      <c r="J472" s="285"/>
      <c r="K472" s="285"/>
    </row>
    <row r="473" spans="6:11" x14ac:dyDescent="0.2">
      <c r="F473" s="285" t="s">
        <v>31</v>
      </c>
      <c r="G473" s="285"/>
      <c r="H473" s="285"/>
      <c r="I473" s="285"/>
      <c r="J473" s="285"/>
      <c r="K473" s="285"/>
    </row>
    <row r="474" spans="6:11" x14ac:dyDescent="0.2">
      <c r="F474" s="285" t="s">
        <v>32</v>
      </c>
      <c r="G474" s="285"/>
      <c r="H474" s="285"/>
      <c r="I474" s="285"/>
      <c r="J474" s="285"/>
      <c r="K474" s="285"/>
    </row>
    <row r="475" spans="6:11" x14ac:dyDescent="0.2">
      <c r="F475" s="285" t="s">
        <v>33</v>
      </c>
      <c r="G475" s="285"/>
      <c r="H475" s="285"/>
      <c r="I475" s="285"/>
      <c r="J475" s="285"/>
      <c r="K475" s="285"/>
    </row>
    <row r="476" spans="6:11" x14ac:dyDescent="0.2">
      <c r="F476" s="285" t="s">
        <v>34</v>
      </c>
      <c r="G476" s="285"/>
      <c r="H476" s="285"/>
      <c r="I476" s="285"/>
      <c r="J476" s="285"/>
      <c r="K476" s="285"/>
    </row>
    <row r="477" spans="6:11" x14ac:dyDescent="0.2">
      <c r="F477" s="285" t="s">
        <v>35</v>
      </c>
      <c r="G477" s="285"/>
      <c r="H477" s="285"/>
      <c r="I477" s="285"/>
      <c r="J477" s="285"/>
      <c r="K477" s="285"/>
    </row>
    <row r="478" spans="6:11" x14ac:dyDescent="0.2">
      <c r="F478" s="285" t="s">
        <v>36</v>
      </c>
      <c r="G478" s="285"/>
      <c r="H478" s="285"/>
      <c r="I478" s="285"/>
      <c r="J478" s="285"/>
      <c r="K478" s="285"/>
    </row>
    <row r="479" spans="6:11" x14ac:dyDescent="0.2">
      <c r="F479" s="285" t="s">
        <v>37</v>
      </c>
      <c r="G479" s="285"/>
      <c r="H479" s="285"/>
      <c r="I479" s="285"/>
      <c r="J479" s="285"/>
      <c r="K479" s="285"/>
    </row>
    <row r="480" spans="6:11" x14ac:dyDescent="0.2">
      <c r="F480" s="285" t="s">
        <v>38</v>
      </c>
      <c r="G480" s="285"/>
      <c r="H480" s="285"/>
      <c r="I480" s="285"/>
      <c r="J480" s="285"/>
      <c r="K480" s="285"/>
    </row>
    <row r="481" spans="6:11" x14ac:dyDescent="0.2">
      <c r="F481" s="285" t="s">
        <v>39</v>
      </c>
      <c r="G481" s="285"/>
      <c r="H481" s="285"/>
      <c r="I481" s="285"/>
      <c r="J481" s="285"/>
      <c r="K481" s="285"/>
    </row>
    <row r="482" spans="6:11" x14ac:dyDescent="0.2">
      <c r="F482" s="285" t="s">
        <v>40</v>
      </c>
      <c r="G482" s="285"/>
      <c r="H482" s="285"/>
      <c r="I482" s="285"/>
      <c r="J482" s="285"/>
      <c r="K482" s="285"/>
    </row>
    <row r="483" spans="6:11" x14ac:dyDescent="0.2">
      <c r="F483" s="285" t="s">
        <v>41</v>
      </c>
      <c r="G483" s="285"/>
      <c r="H483" s="285"/>
      <c r="I483" s="285"/>
      <c r="J483" s="285"/>
      <c r="K483" s="285"/>
    </row>
    <row r="484" spans="6:11" x14ac:dyDescent="0.2">
      <c r="F484" s="285" t="s">
        <v>42</v>
      </c>
      <c r="G484" s="285"/>
      <c r="H484" s="285"/>
      <c r="I484" s="285"/>
      <c r="J484" s="285"/>
      <c r="K484" s="285"/>
    </row>
    <row r="485" spans="6:11" x14ac:dyDescent="0.2">
      <c r="F485" s="285" t="s">
        <v>43</v>
      </c>
      <c r="G485" s="285"/>
      <c r="H485" s="285"/>
      <c r="I485" s="285"/>
      <c r="J485" s="285"/>
      <c r="K485" s="285"/>
    </row>
    <row r="486" spans="6:11" x14ac:dyDescent="0.2">
      <c r="F486" s="285" t="s">
        <v>44</v>
      </c>
      <c r="G486" s="285"/>
      <c r="H486" s="285"/>
      <c r="I486" s="285"/>
      <c r="J486" s="285"/>
      <c r="K486" s="285"/>
    </row>
    <row r="487" spans="6:11" x14ac:dyDescent="0.2">
      <c r="F487" s="285" t="s">
        <v>45</v>
      </c>
      <c r="G487" s="285"/>
      <c r="H487" s="285"/>
      <c r="I487" s="285"/>
      <c r="J487" s="285"/>
      <c r="K487" s="285"/>
    </row>
    <row r="488" spans="6:11" x14ac:dyDescent="0.2">
      <c r="F488" s="285" t="s">
        <v>46</v>
      </c>
      <c r="G488" s="285"/>
      <c r="H488" s="285"/>
      <c r="I488" s="285"/>
      <c r="J488" s="285"/>
      <c r="K488" s="285"/>
    </row>
    <row r="489" spans="6:11" x14ac:dyDescent="0.2">
      <c r="F489" s="285" t="s">
        <v>47</v>
      </c>
      <c r="G489" s="285"/>
      <c r="H489" s="285"/>
      <c r="I489" s="285"/>
      <c r="J489" s="285"/>
      <c r="K489" s="285"/>
    </row>
    <row r="490" spans="6:11" x14ac:dyDescent="0.2">
      <c r="F490" s="285" t="s">
        <v>48</v>
      </c>
      <c r="G490" s="285"/>
      <c r="H490" s="285"/>
      <c r="I490" s="285"/>
      <c r="J490" s="285"/>
      <c r="K490" s="285"/>
    </row>
    <row r="491" spans="6:11" x14ac:dyDescent="0.2">
      <c r="F491" s="285" t="s">
        <v>49</v>
      </c>
      <c r="G491" s="285"/>
      <c r="H491" s="285"/>
      <c r="I491" s="285"/>
      <c r="J491" s="285"/>
      <c r="K491" s="285"/>
    </row>
    <row r="492" spans="6:11" x14ac:dyDescent="0.2">
      <c r="F492" s="285" t="s">
        <v>50</v>
      </c>
      <c r="G492" s="285"/>
      <c r="H492" s="285"/>
      <c r="I492" s="285"/>
      <c r="J492" s="285"/>
      <c r="K492" s="285"/>
    </row>
    <row r="493" spans="6:11" x14ac:dyDescent="0.2">
      <c r="F493" s="285" t="s">
        <v>51</v>
      </c>
      <c r="G493" s="285"/>
      <c r="H493" s="285"/>
      <c r="I493" s="285"/>
      <c r="J493" s="285"/>
      <c r="K493" s="285"/>
    </row>
    <row r="494" spans="6:11" x14ac:dyDescent="0.2">
      <c r="F494" s="285" t="s">
        <v>52</v>
      </c>
      <c r="G494" s="285"/>
      <c r="H494" s="285"/>
      <c r="I494" s="285"/>
      <c r="J494" s="285"/>
      <c r="K494" s="285"/>
    </row>
    <row r="495" spans="6:11" x14ac:dyDescent="0.2">
      <c r="F495" s="285" t="s">
        <v>53</v>
      </c>
      <c r="G495" s="285"/>
      <c r="H495" s="285"/>
      <c r="I495" s="285"/>
      <c r="J495" s="285"/>
      <c r="K495" s="285"/>
    </row>
    <row r="496" spans="6:11" x14ac:dyDescent="0.2">
      <c r="F496" s="285" t="s">
        <v>54</v>
      </c>
      <c r="G496" s="285"/>
      <c r="H496" s="285"/>
      <c r="I496" s="285"/>
      <c r="J496" s="285"/>
      <c r="K496" s="285"/>
    </row>
    <row r="497" spans="6:11" x14ac:dyDescent="0.2">
      <c r="F497" s="285" t="s">
        <v>55</v>
      </c>
      <c r="G497" s="285"/>
      <c r="H497" s="285"/>
      <c r="I497" s="285"/>
      <c r="J497" s="285"/>
      <c r="K497" s="285"/>
    </row>
    <row r="498" spans="6:11" x14ac:dyDescent="0.2">
      <c r="F498" s="285" t="s">
        <v>56</v>
      </c>
      <c r="G498" s="285"/>
      <c r="H498" s="285"/>
      <c r="I498" s="285"/>
      <c r="J498" s="285"/>
      <c r="K498" s="285"/>
    </row>
    <row r="499" spans="6:11" x14ac:dyDescent="0.2">
      <c r="F499" s="285" t="s">
        <v>57</v>
      </c>
      <c r="G499" s="285"/>
      <c r="H499" s="285"/>
      <c r="I499" s="285"/>
      <c r="J499" s="285"/>
      <c r="K499" s="285"/>
    </row>
    <row r="500" spans="6:11" x14ac:dyDescent="0.2">
      <c r="F500" s="285" t="s">
        <v>58</v>
      </c>
      <c r="G500" s="285"/>
      <c r="H500" s="285"/>
      <c r="I500" s="285"/>
      <c r="J500" s="285"/>
      <c r="K500" s="285"/>
    </row>
    <row r="501" spans="6:11" x14ac:dyDescent="0.2">
      <c r="F501" s="285" t="s">
        <v>59</v>
      </c>
      <c r="G501" s="285"/>
      <c r="H501" s="285"/>
      <c r="I501" s="285"/>
      <c r="J501" s="285"/>
      <c r="K501" s="285"/>
    </row>
    <row r="502" spans="6:11" x14ac:dyDescent="0.2">
      <c r="F502" s="285" t="s">
        <v>60</v>
      </c>
      <c r="G502" s="285"/>
      <c r="H502" s="285"/>
      <c r="I502" s="285"/>
      <c r="J502" s="285"/>
      <c r="K502" s="285"/>
    </row>
    <row r="503" spans="6:11" x14ac:dyDescent="0.2">
      <c r="F503" s="285" t="s">
        <v>61</v>
      </c>
      <c r="G503" s="285"/>
      <c r="H503" s="285"/>
      <c r="I503" s="285"/>
      <c r="J503" s="285"/>
      <c r="K503" s="285"/>
    </row>
    <row r="504" spans="6:11" x14ac:dyDescent="0.2">
      <c r="F504" s="285" t="s">
        <v>62</v>
      </c>
      <c r="G504" s="285"/>
      <c r="H504" s="285"/>
      <c r="I504" s="285"/>
      <c r="J504" s="285"/>
      <c r="K504" s="285"/>
    </row>
    <row r="505" spans="6:11" x14ac:dyDescent="0.2">
      <c r="F505" s="285" t="s">
        <v>63</v>
      </c>
      <c r="G505" s="285"/>
      <c r="H505" s="285"/>
      <c r="I505" s="285"/>
      <c r="J505" s="285"/>
      <c r="K505" s="285"/>
    </row>
    <row r="506" spans="6:11" x14ac:dyDescent="0.2">
      <c r="F506" s="285" t="s">
        <v>64</v>
      </c>
      <c r="G506" s="285"/>
      <c r="H506" s="285"/>
      <c r="I506" s="285"/>
      <c r="J506" s="285"/>
      <c r="K506" s="285"/>
    </row>
    <row r="507" spans="6:11" x14ac:dyDescent="0.2">
      <c r="F507" s="285" t="s">
        <v>65</v>
      </c>
      <c r="G507" s="285"/>
      <c r="H507" s="285"/>
      <c r="I507" s="285"/>
      <c r="J507" s="285"/>
      <c r="K507" s="285"/>
    </row>
    <row r="508" spans="6:11" x14ac:dyDescent="0.2">
      <c r="F508" s="285" t="s">
        <v>66</v>
      </c>
      <c r="G508" s="285"/>
      <c r="H508" s="285"/>
      <c r="I508" s="285"/>
      <c r="J508" s="285"/>
      <c r="K508" s="285"/>
    </row>
    <row r="509" spans="6:11" x14ac:dyDescent="0.2">
      <c r="F509" s="285" t="s">
        <v>67</v>
      </c>
      <c r="G509" s="285"/>
      <c r="H509" s="285"/>
      <c r="I509" s="285"/>
      <c r="J509" s="285"/>
      <c r="K509" s="285"/>
    </row>
    <row r="510" spans="6:11" x14ac:dyDescent="0.2">
      <c r="F510" s="285" t="s">
        <v>68</v>
      </c>
      <c r="G510" s="285"/>
      <c r="H510" s="285"/>
      <c r="I510" s="285"/>
      <c r="J510" s="285"/>
      <c r="K510" s="285"/>
    </row>
    <row r="511" spans="6:11" x14ac:dyDescent="0.2">
      <c r="F511" s="285" t="s">
        <v>69</v>
      </c>
      <c r="G511" s="285"/>
      <c r="H511" s="285"/>
      <c r="I511" s="285"/>
      <c r="J511" s="285"/>
      <c r="K511" s="285"/>
    </row>
    <row r="512" spans="6:11" x14ac:dyDescent="0.2">
      <c r="F512" s="285" t="s">
        <v>70</v>
      </c>
      <c r="G512" s="285"/>
      <c r="H512" s="285"/>
      <c r="I512" s="285"/>
      <c r="J512" s="285"/>
      <c r="K512" s="285"/>
    </row>
    <row r="513" spans="6:6" x14ac:dyDescent="0.2">
      <c r="F513" s="489"/>
    </row>
  </sheetData>
  <mergeCells count="21">
    <mergeCell ref="C8:F8"/>
    <mergeCell ref="D55:M56"/>
    <mergeCell ref="E59:I59"/>
    <mergeCell ref="E63:I63"/>
    <mergeCell ref="C16:N49"/>
    <mergeCell ref="C9:F9"/>
    <mergeCell ref="C412:N420"/>
    <mergeCell ref="C219:N255"/>
    <mergeCell ref="D115:E115"/>
    <mergeCell ref="D113:E113"/>
    <mergeCell ref="C123:N160"/>
    <mergeCell ref="C308:N354"/>
    <mergeCell ref="C358:N409"/>
    <mergeCell ref="C194:N215"/>
    <mergeCell ref="C259:N305"/>
    <mergeCell ref="D105:E105"/>
    <mergeCell ref="C100:K102"/>
    <mergeCell ref="C165:N191"/>
    <mergeCell ref="D107:E107"/>
    <mergeCell ref="D109:E109"/>
    <mergeCell ref="D111:E111"/>
  </mergeCells>
  <dataValidations disablePrompts="1" count="2">
    <dataValidation type="list" allowBlank="1" showInputMessage="1" showErrorMessage="1" sqref="C8:F8">
      <formula1>$F$433:$F$512</formula1>
    </dataValidation>
    <dataValidation type="list" allowBlank="1" showInputMessage="1" showErrorMessage="1" sqref="C9:F9">
      <formula1>$Q$8:$Q$15</formula1>
    </dataValidation>
  </dataValidations>
  <hyperlinks>
    <hyperlink ref="K11" r:id="rId1"/>
  </hyperlinks>
  <pageMargins left="0.23622047244094491" right="0.23622047244094491" top="0.74803149606299213" bottom="0.74803149606299213" header="0.31496062992125984" footer="0.31496062992125984"/>
  <pageSetup paperSize="9" fitToWidth="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E38" sqref="E38"/>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Queenscliffe (B)</v>
      </c>
      <c r="C3" s="49"/>
      <c r="F3" s="6"/>
      <c r="G3" s="6"/>
      <c r="Q3" s="8"/>
    </row>
    <row r="4" spans="1:19" ht="13.5" thickBot="1" x14ac:dyDescent="0.25">
      <c r="B4" s="764"/>
      <c r="C4" s="764"/>
      <c r="D4" s="764"/>
      <c r="E4" s="764"/>
    </row>
    <row r="5" spans="1:19" ht="10.5" customHeight="1" x14ac:dyDescent="0.2">
      <c r="C5" s="9"/>
      <c r="D5" s="10"/>
      <c r="E5" s="10"/>
      <c r="F5" s="11"/>
      <c r="G5" s="119"/>
      <c r="H5" s="10"/>
      <c r="I5" s="320"/>
      <c r="J5" s="320"/>
      <c r="K5" s="320"/>
      <c r="L5" s="320"/>
      <c r="M5" s="320"/>
      <c r="N5" s="320"/>
      <c r="O5" s="10"/>
      <c r="P5" s="10"/>
      <c r="Q5" s="10"/>
      <c r="R5" s="10"/>
      <c r="S5" s="47"/>
    </row>
    <row r="6" spans="1:19" ht="13.5" customHeight="1" x14ac:dyDescent="0.2">
      <c r="C6" s="13"/>
      <c r="D6" s="45"/>
      <c r="E6" s="46"/>
      <c r="H6" s="768" t="str">
        <f>VLOOKUP(' Instructions'!C9,' Instructions'!Q9:U15,2,FALSE)</f>
        <v>2017-18</v>
      </c>
      <c r="I6" s="770"/>
      <c r="J6" s="770"/>
      <c r="K6" s="770"/>
      <c r="L6" s="770"/>
      <c r="M6" s="770"/>
      <c r="N6" s="770"/>
      <c r="O6" s="769"/>
      <c r="P6" s="769"/>
      <c r="Q6" s="769"/>
      <c r="R6" s="771"/>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6" t="s">
        <v>113</v>
      </c>
      <c r="G8" s="26"/>
      <c r="H8" s="392" t="s">
        <v>79</v>
      </c>
      <c r="I8" s="392" t="s">
        <v>80</v>
      </c>
      <c r="J8" s="398" t="s">
        <v>260</v>
      </c>
      <c r="K8" s="392" t="s">
        <v>141</v>
      </c>
      <c r="L8" s="398" t="s">
        <v>338</v>
      </c>
      <c r="M8" s="398" t="s">
        <v>339</v>
      </c>
      <c r="N8" s="63" t="s">
        <v>82</v>
      </c>
      <c r="O8" s="401" t="s">
        <v>340</v>
      </c>
      <c r="P8" s="401" t="s">
        <v>335</v>
      </c>
      <c r="Q8" s="401" t="s">
        <v>337</v>
      </c>
      <c r="R8" s="61" t="s">
        <v>83</v>
      </c>
      <c r="S8" s="31"/>
    </row>
    <row r="9" spans="1:19" x14ac:dyDescent="0.2">
      <c r="C9" s="13"/>
      <c r="D9" s="14"/>
      <c r="E9" s="54"/>
      <c r="F9" s="150"/>
      <c r="G9" s="26"/>
      <c r="H9" s="150" t="s">
        <v>165</v>
      </c>
      <c r="I9" s="150" t="s">
        <v>165</v>
      </c>
      <c r="J9" s="150" t="s">
        <v>165</v>
      </c>
      <c r="K9" s="150" t="s">
        <v>165</v>
      </c>
      <c r="L9" s="150" t="s">
        <v>165</v>
      </c>
      <c r="M9" s="150" t="s">
        <v>165</v>
      </c>
      <c r="N9" s="150" t="s">
        <v>165</v>
      </c>
      <c r="O9" s="150" t="s">
        <v>165</v>
      </c>
      <c r="P9" s="150" t="s">
        <v>165</v>
      </c>
      <c r="Q9" s="150" t="s">
        <v>165</v>
      </c>
      <c r="R9" s="150"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7" t="str">
        <f>IF(OR('Services - NHC'!E10="",'Services - NHC'!E10="[Enter service]"),"",'Services - NHC'!E10)</f>
        <v>Aged Services</v>
      </c>
      <c r="F11" s="68" t="str">
        <f>IF(OR('Services - NHC'!F10="",'Services - NHC'!F10="[Select]"),"",'Services - NHC'!F10)</f>
        <v>External</v>
      </c>
      <c r="G11" s="26"/>
      <c r="H11" s="236">
        <f>GETPIVOTDATA("Sum of 2017/18",'[4]ESC Employees'!$A$3,"Stat of Inc &amp; Exp (Available Cash)","Employee costs","Strategic Objectives (KSAs)","SO1 - 01 - Aged and Disability Services - Exp")</f>
        <v>516400</v>
      </c>
      <c r="I11" s="236">
        <f>GETPIVOTDATA("Sum of 2017/18",'[4]ESC Mat &amp; Serv'!$A$3,"Stat of Inc &amp; Exp (Available Cash)","Materials and services","Strategic Objectives (KSAs)","SO1 - 01 - Aged and Disability Services - Exp")</f>
        <v>146100</v>
      </c>
      <c r="J11" s="69"/>
      <c r="K11" s="69"/>
      <c r="L11" s="69"/>
      <c r="M11" s="69"/>
      <c r="N11" s="69"/>
      <c r="O11" s="69"/>
      <c r="P11" s="69"/>
      <c r="Q11" s="69"/>
      <c r="R11" s="424">
        <f t="shared" ref="R11:R114" si="0">SUM(H11:Q11)</f>
        <v>662500</v>
      </c>
      <c r="S11" s="31"/>
    </row>
    <row r="12" spans="1:19" ht="12" customHeight="1" x14ac:dyDescent="0.2">
      <c r="C12" s="13"/>
      <c r="D12" s="19">
        <f>'Revenue - NHC'!D13</f>
        <v>2</v>
      </c>
      <c r="E12" s="67" t="str">
        <f>IF(OR('Services - NHC'!E11="",'Services - NHC'!E11="[Enter service]"),"",'Services - NHC'!E11)</f>
        <v>Active Communities</v>
      </c>
      <c r="F12" s="68" t="str">
        <f>IF(OR('Services - NHC'!F11="",'Services - NHC'!F11="[Select]"),"",'Services - NHC'!F11)</f>
        <v>External</v>
      </c>
      <c r="G12" s="26"/>
      <c r="H12" s="73">
        <f>GETPIVOTDATA("Sum of 2017/18",'[4]ESC Employees'!$A$3,"Stat of Inc &amp; Exp (Available Cash)","Employee costs","Strategic Objectives (KSAs)","SO1 - 02 - Active Communities - Exp")</f>
        <v>90700</v>
      </c>
      <c r="I12" s="73">
        <f>GETPIVOTDATA("Sum of 2017/18",'[4]ESC Mat &amp; Serv'!$A$3,"Stat of Inc &amp; Exp (Available Cash)","Materials and services","Strategic Objectives (KSAs)","SO1 - 02 - Active Communities - Exp")</f>
        <v>112000</v>
      </c>
      <c r="J12" s="73"/>
      <c r="K12" s="73"/>
      <c r="L12" s="73"/>
      <c r="M12" s="73"/>
      <c r="N12" s="73"/>
      <c r="O12" s="73"/>
      <c r="P12" s="73"/>
      <c r="Q12" s="73"/>
      <c r="R12" s="425">
        <f t="shared" si="0"/>
        <v>202700</v>
      </c>
      <c r="S12" s="31"/>
    </row>
    <row r="13" spans="1:19" ht="12" customHeight="1" x14ac:dyDescent="0.2">
      <c r="C13" s="13"/>
      <c r="D13" s="19">
        <f>'Revenue - NHC'!D14</f>
        <v>3</v>
      </c>
      <c r="E13" s="67" t="str">
        <f>IF(OR('Services - NHC'!E12="",'Services - NHC'!E12="[Enter service]"),"",'Services - NHC'!E12)</f>
        <v>Community Events</v>
      </c>
      <c r="F13" s="68" t="str">
        <f>IF(OR('Services - NHC'!F12="",'Services - NHC'!F12="[Select]"),"",'Services - NHC'!F12)</f>
        <v>External</v>
      </c>
      <c r="G13" s="26"/>
      <c r="H13" s="73">
        <f>GETPIVOTDATA("Sum of 2017/18",'[4]ESC Employees'!$A$3,"Stat of Inc &amp; Exp (Available Cash)","Employee costs","Strategic Objectives (KSAs)","SO1 - 03 - Community Events - Exp")</f>
        <v>37500</v>
      </c>
      <c r="I13" s="73">
        <f>GETPIVOTDATA("Sum of 2017/18",'[4]ESC Mat &amp; Serv'!$A$3,"Stat of Inc &amp; Exp (Available Cash)","Materials and services","Strategic Objectives (KSAs)","SO1 - 03 - Community Events - Exp")</f>
        <v>67100</v>
      </c>
      <c r="J13" s="73"/>
      <c r="K13" s="73"/>
      <c r="L13" s="73"/>
      <c r="M13" s="73"/>
      <c r="N13" s="73"/>
      <c r="O13" s="73"/>
      <c r="P13" s="73"/>
      <c r="Q13" s="73"/>
      <c r="R13" s="425">
        <f t="shared" si="0"/>
        <v>104600</v>
      </c>
      <c r="S13" s="31"/>
    </row>
    <row r="14" spans="1:19" ht="12" customHeight="1" x14ac:dyDescent="0.2">
      <c r="C14" s="13"/>
      <c r="D14" s="19">
        <f>'Revenue - NHC'!D15</f>
        <v>4</v>
      </c>
      <c r="E14" s="67" t="str">
        <f>IF(OR('Services - NHC'!E13="",'Services - NHC'!E13="[Enter service]"),"",'Services - NHC'!E13)</f>
        <v>Maternal and Child Health (MCH)</v>
      </c>
      <c r="F14" s="68" t="str">
        <f>IF(OR('Services - NHC'!F13="",'Services - NHC'!F13="[Select]"),"",'Services - NHC'!F13)</f>
        <v>External</v>
      </c>
      <c r="G14" s="26"/>
      <c r="H14" s="73"/>
      <c r="I14" s="73">
        <f>GETPIVOTDATA("Sum of 2017/18",'[4]ESC Mat &amp; Serv'!$A$3,"Stat of Inc &amp; Exp (Available Cash)","Materials and services","Strategic Objectives (KSAs)","SO1 - 04 - Maternal and Child Health (MCH) Exp")</f>
        <v>62000</v>
      </c>
      <c r="J14" s="73"/>
      <c r="K14" s="73"/>
      <c r="L14" s="73"/>
      <c r="M14" s="73"/>
      <c r="N14" s="73"/>
      <c r="O14" s="73"/>
      <c r="P14" s="73"/>
      <c r="Q14" s="73"/>
      <c r="R14" s="425">
        <f t="shared" si="0"/>
        <v>62000</v>
      </c>
      <c r="S14" s="31"/>
    </row>
    <row r="15" spans="1:19" ht="12" customHeight="1" x14ac:dyDescent="0.2">
      <c r="C15" s="13"/>
      <c r="D15" s="19">
        <f>'Revenue - NHC'!D16</f>
        <v>5</v>
      </c>
      <c r="E15" s="67" t="str">
        <f>IF(OR('Services - NHC'!E14="",'Services - NHC'!E14="[Enter service]"),"",'Services - NHC'!E14)</f>
        <v>Kindergarten</v>
      </c>
      <c r="F15" s="68" t="str">
        <f>IF(OR('Services - NHC'!F14="",'Services - NHC'!F14="[Select]"),"",'Services - NHC'!F14)</f>
        <v>External</v>
      </c>
      <c r="G15" s="26"/>
      <c r="H15" s="73"/>
      <c r="I15" s="73"/>
      <c r="J15" s="73"/>
      <c r="K15" s="73"/>
      <c r="L15" s="73"/>
      <c r="M15" s="73"/>
      <c r="N15" s="73"/>
      <c r="O15" s="73"/>
      <c r="P15" s="73"/>
      <c r="Q15" s="73"/>
      <c r="R15" s="425">
        <f t="shared" si="0"/>
        <v>0</v>
      </c>
      <c r="S15" s="31"/>
    </row>
    <row r="16" spans="1:19" ht="12" customHeight="1" x14ac:dyDescent="0.2">
      <c r="C16" s="13"/>
      <c r="D16" s="19">
        <f>'Revenue - NHC'!D17</f>
        <v>6</v>
      </c>
      <c r="E16" s="67" t="str">
        <f>IF(OR('Services - NHC'!E15="",'Services - NHC'!E15="[Enter service]"),"",'Services - NHC'!E15)</f>
        <v>Environmental Health</v>
      </c>
      <c r="F16" s="68" t="str">
        <f>IF(OR('Services - NHC'!F15="",'Services - NHC'!F15="[Select]"),"",'Services - NHC'!F15)</f>
        <v>External</v>
      </c>
      <c r="G16" s="26"/>
      <c r="H16" s="73">
        <f>GETPIVOTDATA("Sum of 2017/18",'[4]ESC Employees'!$A$3,"Stat of Inc &amp; Exp (Available Cash)","Employee costs","Strategic Objectives (KSAs)","SO1 - 06 - Environmental Health Exp")-H23</f>
        <v>67510.219507982998</v>
      </c>
      <c r="I16" s="73">
        <f>GETPIVOTDATA("Sum of 2017/18",'[4]ESC Mat &amp; Serv'!$A$3,"Stat of Inc &amp; Exp (Available Cash)","Materials and services","Strategic Objectives (KSAs)","SO1 - 06 - Environmental Health Exp")</f>
        <v>22200</v>
      </c>
      <c r="J16" s="73"/>
      <c r="K16" s="73"/>
      <c r="L16" s="73"/>
      <c r="M16" s="73"/>
      <c r="N16" s="73"/>
      <c r="O16" s="73"/>
      <c r="P16" s="73"/>
      <c r="Q16" s="73"/>
      <c r="R16" s="425">
        <f t="shared" si="0"/>
        <v>89710.219507982998</v>
      </c>
      <c r="S16" s="31"/>
    </row>
    <row r="17" spans="3:19" ht="12" customHeight="1" x14ac:dyDescent="0.2">
      <c r="C17" s="13"/>
      <c r="D17" s="19">
        <f>'Revenue - NHC'!D18</f>
        <v>7</v>
      </c>
      <c r="E17" s="67" t="str">
        <f>IF(OR('Services - NHC'!E16="",'Services - NHC'!E16="[Enter service]"),"",'Services - NHC'!E16)</f>
        <v>Asset Management and Appearance of Public Places</v>
      </c>
      <c r="F17" s="68" t="str">
        <f>IF(OR('Services - NHC'!F16="",'Services - NHC'!F16="[Select]"),"",'Services - NHC'!F16)</f>
        <v>External</v>
      </c>
      <c r="G17" s="26"/>
      <c r="H17" s="73"/>
      <c r="I17" s="73">
        <f>GETPIVOTDATA("Sum of 2017/18",'[4]ESC Mat &amp; Serv'!$A$3,"Stat of Inc &amp; Exp (Available Cash)","Materials and services","Strategic Objectives (KSAs)","SO1 - 07 - Asset Management and Appearance of Public Places - Exp")</f>
        <v>1066787.79</v>
      </c>
      <c r="J17" s="73"/>
      <c r="K17" s="73"/>
      <c r="L17" s="73"/>
      <c r="M17" s="73"/>
      <c r="N17" s="73"/>
      <c r="O17" s="73"/>
      <c r="P17" s="73"/>
      <c r="Q17" s="73"/>
      <c r="R17" s="425">
        <f t="shared" si="0"/>
        <v>1066787.79</v>
      </c>
      <c r="S17" s="31"/>
    </row>
    <row r="18" spans="3:19" ht="12" customHeight="1" x14ac:dyDescent="0.2">
      <c r="C18" s="13"/>
      <c r="D18" s="19">
        <f>'Revenue - NHC'!D19</f>
        <v>8</v>
      </c>
      <c r="E18" s="67" t="str">
        <f>IF(OR('Services - NHC'!E17="",'Services - NHC'!E17="[Enter service]"),"",'Services - NHC'!E17)</f>
        <v>Local Laws, Safety and Amenity</v>
      </c>
      <c r="F18" s="68" t="str">
        <f>IF(OR('Services - NHC'!F17="",'Services - NHC'!F17="[Select]"),"",'Services - NHC'!F17)</f>
        <v>External</v>
      </c>
      <c r="G18" s="26"/>
      <c r="H18" s="73">
        <f>GETPIVOTDATA("Sum of 2017/18",'[4]ESC Employees'!$A$3,"Stat of Inc &amp; Exp (Available Cash)","Employee costs","Strategic Objectives (KSAs)","SO1 - 08 - Local Laws, Safety and Amenity - Exp")-'[8]After meeting with Lenny 300517'!$D$7</f>
        <v>277000</v>
      </c>
      <c r="I18" s="73">
        <f>GETPIVOTDATA("Sum of 2017/18",'[4]ESC Mat &amp; Serv'!$A$3,"Stat of Inc &amp; Exp (Available Cash)","Materials and services","Strategic Objectives (KSAs)","SO1 - 08 - Local Laws, Safety and Amenity - Exp")</f>
        <v>23200</v>
      </c>
      <c r="J18" s="73"/>
      <c r="K18" s="73"/>
      <c r="L18" s="73"/>
      <c r="M18" s="73"/>
      <c r="N18" s="73">
        <f>GETPIVOTDATA("Sum of 2017/18",'[4]ESC Other Exp'!$A$3,"Stat of Inc &amp; Exp (Available Cash)","Other expenses","Strategic Objectives (KSAs)","SO1 - 08 - Local Laws, Safety and Amenity - Exp")</f>
        <v>700</v>
      </c>
      <c r="O18" s="73"/>
      <c r="P18" s="73"/>
      <c r="Q18" s="73"/>
      <c r="R18" s="425">
        <f t="shared" si="0"/>
        <v>300900</v>
      </c>
      <c r="S18" s="31"/>
    </row>
    <row r="19" spans="3:19" ht="12" customHeight="1" x14ac:dyDescent="0.2">
      <c r="C19" s="13"/>
      <c r="D19" s="19">
        <f>'Revenue - NHC'!D20</f>
        <v>9</v>
      </c>
      <c r="E19" s="67" t="str">
        <f>IF(OR('Services - NHC'!E18="",'Services - NHC'!E18="[Enter service]"),"",'Services - NHC'!E18)</f>
        <v>Street Lighting</v>
      </c>
      <c r="F19" s="68" t="str">
        <f>IF(OR('Services - NHC'!F18="",'Services - NHC'!F18="[Select]"),"",'Services - NHC'!F18)</f>
        <v>External</v>
      </c>
      <c r="G19" s="26"/>
      <c r="H19" s="73"/>
      <c r="I19" s="73">
        <f>GETPIVOTDATA("Sum of 2017/18",'[4]ESC Mat &amp; Serv'!$A$3,"Stat of Inc &amp; Exp (Available Cash)","Materials and services","Strategic Objectives (KSAs)","SO1 - 09 - Street Lighting Exp")</f>
        <v>44900</v>
      </c>
      <c r="J19" s="73"/>
      <c r="K19" s="73"/>
      <c r="L19" s="73"/>
      <c r="M19" s="73"/>
      <c r="N19" s="73"/>
      <c r="O19" s="73"/>
      <c r="P19" s="73"/>
      <c r="Q19" s="73"/>
      <c r="R19" s="425">
        <f t="shared" si="0"/>
        <v>44900</v>
      </c>
      <c r="S19" s="31"/>
    </row>
    <row r="20" spans="3:19" ht="12" customHeight="1" x14ac:dyDescent="0.2">
      <c r="C20" s="13"/>
      <c r="D20" s="19">
        <f>'Revenue - NHC'!D21</f>
        <v>10</v>
      </c>
      <c r="E20" s="67" t="str">
        <f>IF(OR('Services - NHC'!E19="",'Services - NHC'!E19="[Enter service]"),"",'Services - NHC'!E19)</f>
        <v>Powerline Safety</v>
      </c>
      <c r="F20" s="68" t="str">
        <f>IF(OR('Services - NHC'!F19="",'Services - NHC'!F19="[Select]"),"",'Services - NHC'!F19)</f>
        <v>External</v>
      </c>
      <c r="G20" s="26"/>
      <c r="H20" s="73"/>
      <c r="I20" s="73">
        <f>GETPIVOTDATA("Sum of 2017/18",'[4]ESC Mat &amp; Serv'!$A$3,"Stat of Inc &amp; Exp (Available Cash)","Materials and services","Strategic Objectives (KSAs)","SO1 - 10 - Powerline Clearance")</f>
        <v>60000</v>
      </c>
      <c r="J20" s="73"/>
      <c r="K20" s="73"/>
      <c r="L20" s="73"/>
      <c r="M20" s="73"/>
      <c r="N20" s="73"/>
      <c r="O20" s="73"/>
      <c r="P20" s="73"/>
      <c r="Q20" s="73"/>
      <c r="R20" s="425">
        <f t="shared" si="0"/>
        <v>60000</v>
      </c>
      <c r="S20" s="31"/>
    </row>
    <row r="21" spans="3:19" ht="12" customHeight="1" x14ac:dyDescent="0.2">
      <c r="C21" s="13"/>
      <c r="D21" s="19">
        <f>'Revenue - NHC'!D22</f>
        <v>11</v>
      </c>
      <c r="E21" s="67" t="str">
        <f>IF(OR('Services - NHC'!E20="",'Services - NHC'!E20="[Enter service]"),"",'Services - NHC'!E20)</f>
        <v>Library</v>
      </c>
      <c r="F21" s="68" t="str">
        <f>IF(OR('Services - NHC'!F20="",'Services - NHC'!F20="[Select]"),"",'Services - NHC'!F20)</f>
        <v>External</v>
      </c>
      <c r="G21" s="26"/>
      <c r="H21" s="73"/>
      <c r="I21" s="73">
        <f>GETPIVOTDATA("Sum of 2017/18",'[4]ESC Mat &amp; Serv'!$A$3,"Stat of Inc &amp; Exp (Available Cash)","Materials and services","Strategic Objectives (KSAs)","SO1 - 11 - Library Exp")</f>
        <v>211500</v>
      </c>
      <c r="J21" s="73"/>
      <c r="K21" s="73"/>
      <c r="L21" s="73"/>
      <c r="M21" s="73"/>
      <c r="N21" s="73"/>
      <c r="O21" s="73"/>
      <c r="P21" s="73"/>
      <c r="Q21" s="73"/>
      <c r="R21" s="425">
        <f t="shared" si="0"/>
        <v>211500</v>
      </c>
      <c r="S21" s="31"/>
    </row>
    <row r="22" spans="3:19" ht="12" customHeight="1" x14ac:dyDescent="0.2">
      <c r="C22" s="13"/>
      <c r="D22" s="19">
        <f>'Revenue - NHC'!D23</f>
        <v>12</v>
      </c>
      <c r="E22" s="67" t="str">
        <f>IF(OR('Services - NHC'!E21="",'Services - NHC'!E21="[Enter service]"),"",'Services - NHC'!E21)</f>
        <v>Recreation, Arts and Culture</v>
      </c>
      <c r="F22" s="68" t="str">
        <f>IF(OR('Services - NHC'!F21="",'Services - NHC'!F21="[Select]"),"",'Services - NHC'!F21)</f>
        <v>External</v>
      </c>
      <c r="G22" s="26"/>
      <c r="H22" s="73"/>
      <c r="I22" s="73">
        <f>GETPIVOTDATA("Sum of 2017/18",'[4]ESC Mat &amp; Serv'!$A$3,"Stat of Inc &amp; Exp (Available Cash)","Materials and services","Strategic Objectives (KSAs)","SO1 - 12 - Recreation, Arts and Culture - Exp")</f>
        <v>28500</v>
      </c>
      <c r="J22" s="73"/>
      <c r="K22" s="73"/>
      <c r="L22" s="73"/>
      <c r="M22" s="73"/>
      <c r="N22" s="73"/>
      <c r="O22" s="73"/>
      <c r="P22" s="73"/>
      <c r="Q22" s="73"/>
      <c r="R22" s="425">
        <f t="shared" si="0"/>
        <v>28500</v>
      </c>
      <c r="S22" s="31"/>
    </row>
    <row r="23" spans="3:19" ht="12" customHeight="1" x14ac:dyDescent="0.2">
      <c r="C23" s="13"/>
      <c r="D23" s="19">
        <f>'Revenue - NHC'!D24</f>
        <v>13</v>
      </c>
      <c r="E23" s="67" t="str">
        <f>IF(OR('Services - NHC'!E22="",'Services - NHC'!E22="[Enter service]"),"",'Services - NHC'!E22)</f>
        <v>Environmental Sustainability</v>
      </c>
      <c r="F23" s="68" t="str">
        <f>IF(OR('Services - NHC'!F22="",'Services - NHC'!F22="[Select]"),"",'Services - NHC'!F22)</f>
        <v>Mixed</v>
      </c>
      <c r="G23" s="26"/>
      <c r="H23" s="73">
        <f>'[3]2017-18 BUDGET'!$AA$55</f>
        <v>72489.780492017002</v>
      </c>
      <c r="I23" s="73">
        <f>GETPIVOTDATA("Sum of 2017/18",'[4]ESC Mat &amp; Serv'!$A$3,"Stat of Inc &amp; Exp (Available Cash)","Materials and services","Strategic Objectives (KSAs)","SO2 - 01 - Environmental Sustainability - Exp")</f>
        <v>130583.42</v>
      </c>
      <c r="J23" s="73"/>
      <c r="K23" s="73"/>
      <c r="L23" s="73"/>
      <c r="M23" s="73"/>
      <c r="N23" s="73"/>
      <c r="O23" s="73"/>
      <c r="P23" s="73"/>
      <c r="Q23" s="73"/>
      <c r="R23" s="425">
        <f t="shared" si="0"/>
        <v>203073.200492017</v>
      </c>
      <c r="S23" s="31"/>
    </row>
    <row r="24" spans="3:19" ht="12" customHeight="1" x14ac:dyDescent="0.2">
      <c r="C24" s="13"/>
      <c r="D24" s="19">
        <f>'Revenue - NHC'!D25</f>
        <v>14</v>
      </c>
      <c r="E24" s="67" t="str">
        <f>IF(OR('Services - NHC'!E23="",'Services - NHC'!E23="[Enter service]"),"",'Services - NHC'!E23)</f>
        <v>Coastal Protection</v>
      </c>
      <c r="F24" s="68" t="str">
        <f>IF(OR('Services - NHC'!F23="",'Services - NHC'!F23="[Select]"),"",'Services - NHC'!F23)</f>
        <v>External</v>
      </c>
      <c r="G24" s="26"/>
      <c r="H24" s="73">
        <f>GETPIVOTDATA("Sum of 2017/18",'[4]ESC Employees'!$A$3,"Stat of Inc &amp; Exp (Available Cash)","Employee costs","Strategic Objectives (KSAs)","SO2 - 02 - Coastal Protection - Exp")</f>
        <v>122700</v>
      </c>
      <c r="I24" s="73">
        <f>GETPIVOTDATA("Sum of 2017/18",'[4]ESC Mat &amp; Serv'!$A$3,"Stat of Inc &amp; Exp (Available Cash)","Materials and services","Strategic Objectives (KSAs)","SO2 - 02 - Coastal Protection - Exp")-'[8]After meeting with Lenny 300517'!$D$12</f>
        <v>580211.76</v>
      </c>
      <c r="J24" s="73"/>
      <c r="K24" s="73"/>
      <c r="L24" s="73"/>
      <c r="M24" s="73"/>
      <c r="N24" s="73">
        <f>GETPIVOTDATA("Sum of 2017/18",'[4]ESC Other Exp'!$A$3,"Stat of Inc &amp; Exp (Available Cash)","Other expenses","Strategic Objectives (KSAs)","SO2 - 02 - Coastal Protection - Exp")</f>
        <v>1000</v>
      </c>
      <c r="O24" s="73"/>
      <c r="P24" s="73"/>
      <c r="Q24" s="73"/>
      <c r="R24" s="425">
        <f t="shared" si="0"/>
        <v>703911.76</v>
      </c>
      <c r="S24" s="31"/>
    </row>
    <row r="25" spans="3:19" ht="12" customHeight="1" x14ac:dyDescent="0.2">
      <c r="C25" s="13"/>
      <c r="D25" s="19">
        <f>'Revenue - NHC'!D26</f>
        <v>15</v>
      </c>
      <c r="E25" s="67" t="str">
        <f>IF(OR('Services - NHC'!E24="",'Services - NHC'!E24="[Enter service]"),"",'Services - NHC'!E24)</f>
        <v>Waste Management and Recycling</v>
      </c>
      <c r="F25" s="68" t="str">
        <f>IF(OR('Services - NHC'!F24="",'Services - NHC'!F24="[Select]"),"",'Services - NHC'!F24)</f>
        <v>External</v>
      </c>
      <c r="G25" s="26"/>
      <c r="H25" s="73"/>
      <c r="I25" s="73">
        <f>GETPIVOTDATA("Sum of 2017/18",'[4]ESC Mat &amp; Serv'!$A$3,"Stat of Inc &amp; Exp (Available Cash)","Materials and services","Strategic Objectives (KSAs)","SO2 - 03 - Waste Management and Recycling - Exp")</f>
        <v>894200</v>
      </c>
      <c r="J25" s="73"/>
      <c r="K25" s="73"/>
      <c r="L25" s="73"/>
      <c r="M25" s="73"/>
      <c r="N25" s="73"/>
      <c r="O25" s="73"/>
      <c r="P25" s="73"/>
      <c r="Q25" s="73"/>
      <c r="R25" s="425">
        <f t="shared" si="0"/>
        <v>894200</v>
      </c>
      <c r="S25" s="31"/>
    </row>
    <row r="26" spans="3:19" ht="12" customHeight="1" x14ac:dyDescent="0.2">
      <c r="C26" s="13"/>
      <c r="D26" s="19">
        <f>'Revenue - NHC'!D27</f>
        <v>16</v>
      </c>
      <c r="E26" s="67" t="str">
        <f>IF(OR('Services - NHC'!E25="",'Services - NHC'!E25="[Enter service]"),"",'Services - NHC'!E25)</f>
        <v>Tourist Parks and Boat Ramp Services</v>
      </c>
      <c r="F26" s="68" t="str">
        <f>IF(OR('Services - NHC'!F25="",'Services - NHC'!F25="[Select]"),"",'Services - NHC'!F25)</f>
        <v>External</v>
      </c>
      <c r="G26" s="26"/>
      <c r="H26" s="73">
        <f>GETPIVOTDATA("Sum of 2017/18",'[4]ESC Employees'!$A$3,"Stat of Inc &amp; Exp (Available Cash)","Employee costs","Strategic Objectives (KSAs)","SO3 - 01 - Tourist Parks and Boat Ramp Services - Exp")</f>
        <v>502100</v>
      </c>
      <c r="I26" s="73">
        <f>GETPIVOTDATA("Sum of 2017/18",'[4]ESC Mat &amp; Serv'!$A$3,"Stat of Inc &amp; Exp (Available Cash)","Materials and services","Strategic Objectives (KSAs)","SO3 - 01 - Tourist Parks and Boat Ramp Services - Exp")</f>
        <v>542480.44999999995</v>
      </c>
      <c r="J26" s="73"/>
      <c r="K26" s="73"/>
      <c r="L26" s="73"/>
      <c r="M26" s="73"/>
      <c r="N26" s="73"/>
      <c r="O26" s="73"/>
      <c r="P26" s="73"/>
      <c r="Q26" s="73"/>
      <c r="R26" s="425">
        <f t="shared" si="0"/>
        <v>1044580.45</v>
      </c>
      <c r="S26" s="31"/>
    </row>
    <row r="27" spans="3:19" ht="12" customHeight="1" x14ac:dyDescent="0.2">
      <c r="C27" s="13"/>
      <c r="D27" s="19">
        <f>'Revenue - NHC'!D28</f>
        <v>17</v>
      </c>
      <c r="E27" s="67" t="str">
        <f>IF(OR('Services - NHC'!E26="",'Services - NHC'!E26="[Enter service]"),"",'Services - NHC'!E26)</f>
        <v>Visitor Information Centre (VIC)</v>
      </c>
      <c r="F27" s="68" t="str">
        <f>IF(OR('Services - NHC'!F26="",'Services - NHC'!F26="[Select]"),"",'Services - NHC'!F26)</f>
        <v>External</v>
      </c>
      <c r="G27" s="26"/>
      <c r="H27" s="73">
        <f>GETPIVOTDATA("Sum of 2017/18",'[4]ESC Employees'!$A$3,"Stat of Inc &amp; Exp (Available Cash)","Employee costs","Strategic Objectives (KSAs)","SO3 - 02 - Visitor Information Centre (VIC) - Exp")</f>
        <v>169000</v>
      </c>
      <c r="I27" s="73">
        <f>GETPIVOTDATA("Sum of 2017/18",'[4]ESC Mat &amp; Serv'!$A$3,"Stat of Inc &amp; Exp (Available Cash)","Materials and services","Strategic Objectives (KSAs)","SO3 - 02 - Visitor Information Centre (VIC) - Exp")</f>
        <v>38800</v>
      </c>
      <c r="J27" s="73"/>
      <c r="K27" s="73"/>
      <c r="L27" s="73"/>
      <c r="M27" s="73"/>
      <c r="N27" s="73"/>
      <c r="O27" s="73"/>
      <c r="P27" s="73"/>
      <c r="Q27" s="73"/>
      <c r="R27" s="425">
        <f t="shared" si="0"/>
        <v>207800</v>
      </c>
      <c r="S27" s="31"/>
    </row>
    <row r="28" spans="3:19" ht="12" customHeight="1" x14ac:dyDescent="0.2">
      <c r="C28" s="13"/>
      <c r="D28" s="19">
        <f>'Revenue - NHC'!D29</f>
        <v>18</v>
      </c>
      <c r="E28" s="67" t="str">
        <f>IF(OR('Services - NHC'!E27="",'Services - NHC'!E27="[Enter service]"),"",'Services - NHC'!E27)</f>
        <v>Tourism and Economic Development</v>
      </c>
      <c r="F28" s="68" t="str">
        <f>IF(OR('Services - NHC'!F27="",'Services - NHC'!F27="[Select]"),"",'Services - NHC'!F27)</f>
        <v>Mixed</v>
      </c>
      <c r="G28" s="26"/>
      <c r="H28" s="73">
        <f>GETPIVOTDATA("Sum of 2017/18",'[4]ESC Employees'!$A$3,"Stat of Inc &amp; Exp (Available Cash)","Employee costs","Strategic Objectives (KSAs)","SO3 - 03 - Tourism and Economic Development - Exp")</f>
        <v>81800</v>
      </c>
      <c r="I28" s="73">
        <f>GETPIVOTDATA("Sum of 2017/18",'[4]ESC Mat &amp; Serv'!$A$3,"Stat of Inc &amp; Exp (Available Cash)","Materials and services","Strategic Objectives (KSAs)","SO3 - 03 - Tourism and Economic Development - Exp")-'[8]After meeting with Lenny 300517'!$D$14</f>
        <v>124400</v>
      </c>
      <c r="J28" s="73"/>
      <c r="K28" s="73"/>
      <c r="L28" s="73"/>
      <c r="M28" s="73"/>
      <c r="N28" s="73"/>
      <c r="O28" s="73"/>
      <c r="P28" s="73"/>
      <c r="Q28" s="73"/>
      <c r="R28" s="425">
        <f t="shared" si="0"/>
        <v>206200</v>
      </c>
      <c r="S28" s="31"/>
    </row>
    <row r="29" spans="3:19" ht="12" customHeight="1" x14ac:dyDescent="0.2">
      <c r="C29" s="13"/>
      <c r="D29" s="19">
        <f>'Revenue - NHC'!D30</f>
        <v>19</v>
      </c>
      <c r="E29" s="67" t="str">
        <f>IF(OR('Services - NHC'!E28="",'Services - NHC'!E28="[Enter service]"),"",'Services - NHC'!E28)</f>
        <v>Design and Project Management</v>
      </c>
      <c r="F29" s="68" t="str">
        <f>IF(OR('Services - NHC'!F28="",'Services - NHC'!F28="[Select]"),"",'Services - NHC'!F28)</f>
        <v>Mixed</v>
      </c>
      <c r="G29" s="26"/>
      <c r="H29" s="73">
        <f>GETPIVOTDATA("Sum of 2017/18",'[4]ESC Employees'!$A$3,"Stat of Inc &amp; Exp (Available Cash)","Employee costs","Strategic Objectives (KSAs)","SO4 - 01 - Design and Project Management - Exp")</f>
        <v>159700</v>
      </c>
      <c r="I29" s="73">
        <f>GETPIVOTDATA("Sum of 2017/18",'[4]ESC Mat &amp; Serv'!$A$3,"Stat of Inc &amp; Exp (Available Cash)","Materials and services","Strategic Objectives (KSAs)","SO4 - 01 - Design and Project Management - Exp")</f>
        <v>19100</v>
      </c>
      <c r="J29" s="73"/>
      <c r="K29" s="73"/>
      <c r="L29" s="73"/>
      <c r="M29" s="73"/>
      <c r="N29" s="73"/>
      <c r="O29" s="73"/>
      <c r="P29" s="73"/>
      <c r="Q29" s="73"/>
      <c r="R29" s="425">
        <f t="shared" si="0"/>
        <v>178800</v>
      </c>
      <c r="S29" s="31"/>
    </row>
    <row r="30" spans="3:19" ht="12" customHeight="1" x14ac:dyDescent="0.2">
      <c r="C30" s="13"/>
      <c r="D30" s="19">
        <f>'Revenue - NHC'!D31</f>
        <v>20</v>
      </c>
      <c r="E30" s="67" t="str">
        <f>IF(OR('Services - NHC'!E29="",'Services - NHC'!E29="[Enter service]"),"",'Services - NHC'!E29)</f>
        <v>Land Use Planning</v>
      </c>
      <c r="F30" s="68" t="str">
        <f>IF(OR('Services - NHC'!F29="",'Services - NHC'!F29="[Select]"),"",'Services - NHC'!F29)</f>
        <v>External</v>
      </c>
      <c r="G30" s="26"/>
      <c r="H30" s="73">
        <f>GETPIVOTDATA("Sum of 2017/18",'[4]ESC Employees'!$A$3,"Stat of Inc &amp; Exp (Available Cash)","Employee costs","Strategic Objectives (KSAs)","SO4 - 02 - Land Use Planning - Exp")</f>
        <v>217000</v>
      </c>
      <c r="I30" s="73">
        <f>GETPIVOTDATA("Sum of 2017/18",'[4]ESC Mat &amp; Serv'!$A$3,"Stat of Inc &amp; Exp (Available Cash)","Materials and services","Strategic Objectives (KSAs)","SO4 - 02 - Land Use Planning - Exp")</f>
        <v>128956.92</v>
      </c>
      <c r="J30" s="73"/>
      <c r="K30" s="73"/>
      <c r="L30" s="73"/>
      <c r="M30" s="73"/>
      <c r="N30" s="73">
        <f>GETPIVOTDATA("Sum of 2017/18",'[4]ESC Other Exp'!$A$3,"Stat of Inc &amp; Exp (Available Cash)","Other expenses","Strategic Objectives (KSAs)","SO4 - 02 - Land Use Planning - Exp")</f>
        <v>500</v>
      </c>
      <c r="O30" s="73"/>
      <c r="P30" s="73"/>
      <c r="Q30" s="73"/>
      <c r="R30" s="425">
        <f t="shared" si="0"/>
        <v>346456.92</v>
      </c>
      <c r="S30" s="31"/>
    </row>
    <row r="31" spans="3:19" ht="12" customHeight="1" x14ac:dyDescent="0.2">
      <c r="C31" s="13"/>
      <c r="D31" s="19">
        <f>'Revenue - NHC'!D32</f>
        <v>21</v>
      </c>
      <c r="E31" s="67" t="str">
        <f>IF(OR('Services - NHC'!E30="",'Services - NHC'!E30="[Enter service]"),"",'Services - NHC'!E30)</f>
        <v>Heritage Conservation Advice</v>
      </c>
      <c r="F31" s="68" t="str">
        <f>IF(OR('Services - NHC'!F30="",'Services - NHC'!F30="[Select]"),"",'Services - NHC'!F30)</f>
        <v>External</v>
      </c>
      <c r="G31" s="26"/>
      <c r="H31" s="73"/>
      <c r="I31" s="73">
        <f>GETPIVOTDATA("Sum of 2017/18",'[4]ESC Mat &amp; Serv'!$A$3,"Stat of Inc &amp; Exp (Available Cash)","Materials and services","Strategic Objectives (KSAs)","SO4 - 03 - Heritage Conservation Advice - Exp")</f>
        <v>75000</v>
      </c>
      <c r="J31" s="73"/>
      <c r="K31" s="73"/>
      <c r="L31" s="73"/>
      <c r="M31" s="73"/>
      <c r="N31" s="73"/>
      <c r="O31" s="73"/>
      <c r="P31" s="73"/>
      <c r="Q31" s="73"/>
      <c r="R31" s="425">
        <f t="shared" si="0"/>
        <v>75000</v>
      </c>
      <c r="S31" s="31"/>
    </row>
    <row r="32" spans="3:19" ht="12" customHeight="1" x14ac:dyDescent="0.2">
      <c r="C32" s="13"/>
      <c r="D32" s="19">
        <f>'Revenue - NHC'!D33</f>
        <v>22</v>
      </c>
      <c r="E32" s="67" t="str">
        <f>IF(OR('Services - NHC'!E31="",'Services - NHC'!E31="[Enter service]"),"",'Services - NHC'!E31)</f>
        <v>Building Control</v>
      </c>
      <c r="F32" s="68" t="str">
        <f>IF(OR('Services - NHC'!F31="",'Services - NHC'!F31="[Select]"),"",'Services - NHC'!F31)</f>
        <v>External</v>
      </c>
      <c r="G32" s="26"/>
      <c r="H32" s="73"/>
      <c r="I32" s="73">
        <f>GETPIVOTDATA("Sum of 2017/18",'[4]ESC Mat &amp; Serv'!$A$3,"Stat of Inc &amp; Exp (Available Cash)","Materials and services","Strategic Objectives (KSAs)","SO4 - 04 - Building Control - Exp")</f>
        <v>58600</v>
      </c>
      <c r="J32" s="73"/>
      <c r="K32" s="73"/>
      <c r="L32" s="73"/>
      <c r="M32" s="73"/>
      <c r="N32" s="73"/>
      <c r="O32" s="73"/>
      <c r="P32" s="73"/>
      <c r="Q32" s="73"/>
      <c r="R32" s="425">
        <f t="shared" si="0"/>
        <v>58600</v>
      </c>
      <c r="S32" s="31"/>
    </row>
    <row r="33" spans="3:19" ht="12" customHeight="1" x14ac:dyDescent="0.2">
      <c r="C33" s="13"/>
      <c r="D33" s="19">
        <f>'Revenue - NHC'!D34</f>
        <v>23</v>
      </c>
      <c r="E33" s="67" t="str">
        <f>IF(OR('Services - NHC'!E32="",'Services - NHC'!E32="[Enter service]"),"",'Services - NHC'!E32)</f>
        <v>Council Governance</v>
      </c>
      <c r="F33" s="68" t="str">
        <f>IF(OR('Services - NHC'!F32="",'Services - NHC'!F32="[Select]"),"",'Services - NHC'!F32)</f>
        <v>Mixed</v>
      </c>
      <c r="G33" s="26"/>
      <c r="H33" s="73">
        <f>GETPIVOTDATA("Sum of 2017/18",'[4]ESC Employees'!$A$3,"Stat of Inc &amp; Exp (Available Cash)","Employee costs","Strategic Objectives (KSAs)","SO5 - 01 - Council Governance - Exp")</f>
        <v>2400</v>
      </c>
      <c r="I33" s="73">
        <f>GETPIVOTDATA("Sum of 2017/18",'[4]ESC Mat &amp; Serv'!$A$3,"Stat of Inc &amp; Exp (Available Cash)","Materials and services","Strategic Objectives (KSAs)","SO5 - 01 - Council Governance - Exp")</f>
        <v>105700</v>
      </c>
      <c r="J33" s="73"/>
      <c r="K33" s="73"/>
      <c r="L33" s="73"/>
      <c r="M33" s="73"/>
      <c r="N33" s="73">
        <f>GETPIVOTDATA("Sum of 2017/18",'[4]ESC Other Exp'!$A$3,"Stat of Inc &amp; Exp (Available Cash)","Other expenses","Strategic Objectives (KSAs)","SO5 - 01 - Council Governance - Exp")</f>
        <v>140800</v>
      </c>
      <c r="O33" s="73"/>
      <c r="P33" s="73"/>
      <c r="Q33" s="73"/>
      <c r="R33" s="425">
        <f t="shared" si="0"/>
        <v>248900</v>
      </c>
      <c r="S33" s="31"/>
    </row>
    <row r="34" spans="3:19" ht="12" customHeight="1" x14ac:dyDescent="0.2">
      <c r="C34" s="13"/>
      <c r="D34" s="19">
        <f>'Revenue - NHC'!D35</f>
        <v>24</v>
      </c>
      <c r="E34" s="67" t="str">
        <f>IF(OR('Services - NHC'!E33="",'Services - NHC'!E33="[Enter service]"),"",'Services - NHC'!E33)</f>
        <v>Organisation Performance and Compliance</v>
      </c>
      <c r="F34" s="68" t="str">
        <f>IF(OR('Services - NHC'!F33="",'Services - NHC'!F33="[Select]"),"",'Services - NHC'!F33)</f>
        <v>Internal</v>
      </c>
      <c r="G34" s="26"/>
      <c r="H34" s="73">
        <f>GETPIVOTDATA("Sum of 2017/18",'[4]ESC Employees'!$A$3,"Stat of Inc &amp; Exp (Available Cash)","Employee costs","Strategic Objectives (KSAs)","SO5 - 02 - Organisational Performance and Compliance - Exp")</f>
        <v>884900</v>
      </c>
      <c r="I34" s="73">
        <f>GETPIVOTDATA("Sum of 2017/18",'[4]ESC Mat &amp; Serv'!$A$3,"Stat of Inc &amp; Exp (Available Cash)","Materials and services","Strategic Objectives (KSAs)","SO5 - 02 - Organisational Performance and Compliance - Exp")-'[8]After meeting with Lenny 300517'!$D$16</f>
        <v>331000</v>
      </c>
      <c r="J34" s="73"/>
      <c r="K34" s="73"/>
      <c r="L34" s="73"/>
      <c r="M34" s="73"/>
      <c r="N34" s="73">
        <f>GETPIVOTDATA("Sum of 2017/18",'[4]ESC Other Exp'!$A$3,"Stat of Inc &amp; Exp (Available Cash)","Other expenses","Strategic Objectives (KSAs)","SO5 - 02 - Organisational Performance and Compliance - Exp")</f>
        <v>25123</v>
      </c>
      <c r="O34" s="73"/>
      <c r="P34" s="73"/>
      <c r="Q34" s="73"/>
      <c r="R34" s="425">
        <f t="shared" si="0"/>
        <v>1241023</v>
      </c>
      <c r="S34" s="31"/>
    </row>
    <row r="35" spans="3:19" ht="12" customHeight="1" x14ac:dyDescent="0.2">
      <c r="C35" s="13"/>
      <c r="D35" s="19">
        <f>'Revenue - NHC'!D36</f>
        <v>25</v>
      </c>
      <c r="E35" s="67" t="str">
        <f>IF(OR('Services - NHC'!E34="",'Services - NHC'!E34="[Enter service]"),"",'Services - NHC'!E34)</f>
        <v>Community Engagement and Customer Service</v>
      </c>
      <c r="F35" s="68" t="str">
        <f>IF(OR('Services - NHC'!F34="",'Services - NHC'!F34="[Select]"),"",'Services - NHC'!F34)</f>
        <v>Mixed</v>
      </c>
      <c r="G35" s="26"/>
      <c r="H35" s="73">
        <f>GETPIVOTDATA("Sum of 2017/18",'[4]ESC Employees'!$A$3,"Stat of Inc &amp; Exp (Available Cash)","Employee costs","Strategic Objectives (KSAs)","SO5 - 03 - Community Engagement and Customer Service - Exp")</f>
        <v>442300</v>
      </c>
      <c r="I35" s="73">
        <f>GETPIVOTDATA("Sum of 2017/18",'[4]ESC Mat &amp; Serv'!$A$3,"Stat of Inc &amp; Exp (Available Cash)","Materials and services","Strategic Objectives (KSAs)","SO5 - 03 - Community Engagement and Customer Service - Exp")</f>
        <v>39000</v>
      </c>
      <c r="J35" s="73"/>
      <c r="K35" s="73"/>
      <c r="L35" s="73"/>
      <c r="M35" s="73"/>
      <c r="N35" s="73"/>
      <c r="O35" s="73"/>
      <c r="P35" s="73"/>
      <c r="Q35" s="73"/>
      <c r="R35" s="425">
        <f t="shared" si="0"/>
        <v>481300</v>
      </c>
      <c r="S35" s="31"/>
    </row>
    <row r="36" spans="3:19" ht="12" customHeight="1" x14ac:dyDescent="0.2">
      <c r="C36" s="13"/>
      <c r="D36" s="19">
        <f>'Revenue - NHC'!D37</f>
        <v>26</v>
      </c>
      <c r="E36" s="67" t="str">
        <f>IF(OR('Services - NHC'!E35="",'Services - NHC'!E35="[Enter service]"),"",'Services - NHC'!E35)</f>
        <v>Financial and Risk Management</v>
      </c>
      <c r="F36" s="68" t="str">
        <f>IF(OR('Services - NHC'!F35="",'Services - NHC'!F35="[Select]"),"",'Services - NHC'!F35)</f>
        <v>Internal</v>
      </c>
      <c r="G36" s="26"/>
      <c r="H36" s="73">
        <f>GETPIVOTDATA("Sum of 2017/18",'[4]ESC Employees'!$A$3,"Stat of Inc &amp; Exp (Available Cash)","Employee costs","Strategic Objectives (KSAs)","SO5 - 04 - Financial and Risk Management - Exp")</f>
        <v>410300</v>
      </c>
      <c r="I36" s="73">
        <f>GETPIVOTDATA("Sum of 2017/18",'[4]ESC Mat &amp; Serv'!$A$3,"Stat of Inc &amp; Exp (Available Cash)","Materials and services","Strategic Objectives (KSAs)","SO5 - 04 - Financial and Risk Management - Exp")-'[8]After meeting with Lenny 300517'!$D$13</f>
        <v>501400.00274999999</v>
      </c>
      <c r="J36" s="73">
        <f>GETPIVOTDATA("Sum of 2017/18",'[4]ESC B&amp;DD'!$A$3,"Stat of Inc &amp; Exp (Available Cash)","Bad and doubtful debts","Strategic Objectives (KSAs)","SO5 - 04 - Financial and Risk Management - Exp")</f>
        <v>3000</v>
      </c>
      <c r="K36" s="73">
        <f>GETPIVOTDATA("Sum of 2017/18",'[4]ESC Depn'!$A$3,"Comprehensive Income Statement","Depreciation","Strategic Objectives (KSAs)","SO5 - 04 - Financial and Risk Management - Exp")</f>
        <v>1196599.2408</v>
      </c>
      <c r="L36" s="73"/>
      <c r="M36" s="73">
        <f>GETPIVOTDATA("Sum of 2017/18",'[4]ESC Int Exp'!$A$3,"Stat of Inc &amp; Exp (Available Cash)","Borrowing costs","Strategic Objectives (KSAs)","SO5 - 04 - Financial and Risk Management - Exp")</f>
        <v>11300</v>
      </c>
      <c r="N36" s="73">
        <f>GETPIVOTDATA("Sum of 2017/18",'[4]ESC Other Exp'!$A$3,"Stat of Inc &amp; Exp (Available Cash)","Other expenses","Strategic Objectives (KSAs)","SO5 - 04 - Financial and Risk Management - Exp")</f>
        <v>65000</v>
      </c>
      <c r="O36" s="73"/>
      <c r="P36" s="73"/>
      <c r="Q36" s="73"/>
      <c r="R36" s="425">
        <f t="shared" si="0"/>
        <v>2187599.2435499998</v>
      </c>
      <c r="S36" s="31"/>
    </row>
    <row r="37" spans="3:19" ht="12" customHeight="1" x14ac:dyDescent="0.2">
      <c r="C37" s="13"/>
      <c r="D37" s="19">
        <f>'Revenue - NHC'!D38</f>
        <v>27</v>
      </c>
      <c r="E37" s="67" t="str">
        <f>IF(OR('Services - NHC'!E36="",'Services - NHC'!E36="[Enter service]"),"",'Services - NHC'!E36)</f>
        <v/>
      </c>
      <c r="F37" s="68" t="str">
        <f>IF(OR('Services - NHC'!F36="",'Services - NHC'!F36="[Select]"),"",'Services - NHC'!F36)</f>
        <v/>
      </c>
      <c r="G37" s="26"/>
      <c r="H37" s="73"/>
      <c r="I37" s="73"/>
      <c r="J37" s="73"/>
      <c r="K37" s="73"/>
      <c r="L37" s="73"/>
      <c r="M37" s="73"/>
      <c r="N37" s="73"/>
      <c r="O37" s="73"/>
      <c r="P37" s="73"/>
      <c r="Q37" s="73"/>
      <c r="R37" s="425">
        <f t="shared" si="0"/>
        <v>0</v>
      </c>
      <c r="S37" s="31"/>
    </row>
    <row r="38" spans="3:19" ht="12" customHeight="1" x14ac:dyDescent="0.2">
      <c r="C38" s="13"/>
      <c r="D38" s="19">
        <f>'Revenue - NHC'!D39</f>
        <v>28</v>
      </c>
      <c r="E38" s="67" t="str">
        <f>IF(OR('Services - NHC'!E37="",'Services - NHC'!E37="[Enter service]"),"",'Services - NHC'!E37)</f>
        <v>Capital Works Program</v>
      </c>
      <c r="F38" s="68" t="str">
        <f>IF(OR('Services - NHC'!F37="",'Services - NHC'!F37="[Select]"),"",'Services - NHC'!F37)</f>
        <v>External</v>
      </c>
      <c r="G38" s="26"/>
      <c r="H38" s="73"/>
      <c r="I38" s="73"/>
      <c r="J38" s="73"/>
      <c r="K38" s="73"/>
      <c r="L38" s="73"/>
      <c r="M38" s="73"/>
      <c r="N38" s="73"/>
      <c r="O38" s="73"/>
      <c r="P38" s="73"/>
      <c r="Q38" s="73"/>
      <c r="R38" s="425">
        <f t="shared" si="0"/>
        <v>0</v>
      </c>
      <c r="S38" s="31"/>
    </row>
    <row r="39" spans="3:19" ht="12" customHeight="1" x14ac:dyDescent="0.2">
      <c r="C39" s="13"/>
      <c r="D39" s="19">
        <f>'Revenue - NHC'!D40</f>
        <v>29</v>
      </c>
      <c r="E39" s="67" t="str">
        <f>IF(OR('Services - NHC'!E38="",'Services - NHC'!E38="[Enter service]"),"",'Services - NHC'!E38)</f>
        <v/>
      </c>
      <c r="F39" s="68" t="str">
        <f>IF(OR('Services - NHC'!F38="",'Services - NHC'!F38="[Select]"),"",'Services - NHC'!F38)</f>
        <v/>
      </c>
      <c r="G39" s="26"/>
      <c r="H39" s="73"/>
      <c r="I39" s="73"/>
      <c r="J39" s="73"/>
      <c r="K39" s="73"/>
      <c r="L39" s="73"/>
      <c r="M39" s="73"/>
      <c r="N39" s="73"/>
      <c r="O39" s="73"/>
      <c r="P39" s="73"/>
      <c r="Q39" s="73"/>
      <c r="R39" s="425">
        <f t="shared" si="0"/>
        <v>0</v>
      </c>
      <c r="S39" s="31"/>
    </row>
    <row r="40" spans="3:19" ht="12" customHeight="1" x14ac:dyDescent="0.2">
      <c r="C40" s="13"/>
      <c r="D40" s="19">
        <f>'Revenue - NHC'!D41</f>
        <v>30</v>
      </c>
      <c r="E40" s="67" t="str">
        <f>IF(OR('Services - NHC'!E39="",'Services - NHC'!E39="[Enter service]"),"",'Services - NHC'!E39)</f>
        <v/>
      </c>
      <c r="F40" s="68" t="str">
        <f>IF(OR('Services - NHC'!F39="",'Services - NHC'!F39="[Select]"),"",'Services - NHC'!F39)</f>
        <v/>
      </c>
      <c r="G40" s="26"/>
      <c r="H40" s="73"/>
      <c r="I40" s="73"/>
      <c r="J40" s="73"/>
      <c r="K40" s="73"/>
      <c r="L40" s="73"/>
      <c r="M40" s="73"/>
      <c r="N40" s="73"/>
      <c r="O40" s="73"/>
      <c r="P40" s="73"/>
      <c r="Q40" s="73"/>
      <c r="R40" s="425">
        <f t="shared" si="0"/>
        <v>0</v>
      </c>
      <c r="S40" s="31"/>
    </row>
    <row r="41" spans="3:19" ht="12" customHeight="1" x14ac:dyDescent="0.2">
      <c r="C41" s="13"/>
      <c r="D41" s="19">
        <f>'Revenue - NHC'!D42</f>
        <v>31</v>
      </c>
      <c r="E41" s="67" t="str">
        <f>IF(OR('Services - NHC'!E40="",'Services - NHC'!E40="[Enter service]"),"",'Services - NHC'!E40)</f>
        <v/>
      </c>
      <c r="F41" s="68" t="str">
        <f>IF(OR('Services - NHC'!F40="",'Services - NHC'!F40="[Select]"),"",'Services - NHC'!F40)</f>
        <v/>
      </c>
      <c r="G41" s="26"/>
      <c r="H41" s="73"/>
      <c r="I41" s="73"/>
      <c r="J41" s="73"/>
      <c r="K41" s="73"/>
      <c r="L41" s="73"/>
      <c r="M41" s="73"/>
      <c r="N41" s="73"/>
      <c r="O41" s="73"/>
      <c r="P41" s="73"/>
      <c r="Q41" s="73"/>
      <c r="R41" s="425">
        <f t="shared" si="0"/>
        <v>0</v>
      </c>
      <c r="S41" s="31"/>
    </row>
    <row r="42" spans="3:19" ht="12" customHeight="1" x14ac:dyDescent="0.2">
      <c r="C42" s="13"/>
      <c r="D42" s="19">
        <f>'Revenue - NHC'!D43</f>
        <v>32</v>
      </c>
      <c r="E42" s="67" t="str">
        <f>IF(OR('Services - NHC'!E41="",'Services - NHC'!E41="[Enter service]"),"",'Services - NHC'!E41)</f>
        <v/>
      </c>
      <c r="F42" s="68" t="str">
        <f>IF(OR('Services - NHC'!F41="",'Services - NHC'!F41="[Select]"),"",'Services - NHC'!F41)</f>
        <v/>
      </c>
      <c r="G42" s="26"/>
      <c r="H42" s="73"/>
      <c r="I42" s="73"/>
      <c r="J42" s="73"/>
      <c r="K42" s="73"/>
      <c r="L42" s="73"/>
      <c r="M42" s="73"/>
      <c r="N42" s="73"/>
      <c r="O42" s="73"/>
      <c r="P42" s="73"/>
      <c r="Q42" s="73"/>
      <c r="R42" s="425">
        <f t="shared" si="0"/>
        <v>0</v>
      </c>
      <c r="S42" s="31"/>
    </row>
    <row r="43" spans="3:19" ht="12" customHeight="1" x14ac:dyDescent="0.2">
      <c r="C43" s="13"/>
      <c r="D43" s="19">
        <f>'Revenue - NHC'!D44</f>
        <v>33</v>
      </c>
      <c r="E43" s="67" t="str">
        <f>IF(OR('Services - NHC'!E42="",'Services - NHC'!E42="[Enter service]"),"",'Services - NHC'!E42)</f>
        <v/>
      </c>
      <c r="F43" s="68" t="str">
        <f>IF(OR('Services - NHC'!F42="",'Services - NHC'!F42="[Select]"),"",'Services - NHC'!F42)</f>
        <v/>
      </c>
      <c r="G43" s="26"/>
      <c r="H43" s="73"/>
      <c r="I43" s="73"/>
      <c r="J43" s="73"/>
      <c r="K43" s="73"/>
      <c r="L43" s="73"/>
      <c r="M43" s="73"/>
      <c r="N43" s="73"/>
      <c r="O43" s="73"/>
      <c r="P43" s="73"/>
      <c r="Q43" s="73"/>
      <c r="R43" s="425">
        <f t="shared" si="0"/>
        <v>0</v>
      </c>
      <c r="S43" s="31"/>
    </row>
    <row r="44" spans="3:19" ht="12" customHeight="1" x14ac:dyDescent="0.2">
      <c r="C44" s="13"/>
      <c r="D44" s="19">
        <f>'Revenue - NHC'!D45</f>
        <v>34</v>
      </c>
      <c r="E44" s="67" t="str">
        <f>IF(OR('Services - NHC'!E43="",'Services - NHC'!E43="[Enter service]"),"",'Services - NHC'!E43)</f>
        <v/>
      </c>
      <c r="F44" s="68" t="str">
        <f>IF(OR('Services - NHC'!F43="",'Services - NHC'!F43="[Select]"),"",'Services - NHC'!F43)</f>
        <v/>
      </c>
      <c r="G44" s="26"/>
      <c r="H44" s="73"/>
      <c r="I44" s="73"/>
      <c r="J44" s="73"/>
      <c r="K44" s="73"/>
      <c r="L44" s="73"/>
      <c r="M44" s="73"/>
      <c r="N44" s="73"/>
      <c r="O44" s="73"/>
      <c r="P44" s="73"/>
      <c r="Q44" s="73"/>
      <c r="R44" s="425">
        <f t="shared" si="0"/>
        <v>0</v>
      </c>
      <c r="S44" s="31"/>
    </row>
    <row r="45" spans="3:19" ht="12" customHeight="1" x14ac:dyDescent="0.2">
      <c r="C45" s="13"/>
      <c r="D45" s="19">
        <f>'Revenue - NHC'!D46</f>
        <v>35</v>
      </c>
      <c r="E45" s="67" t="str">
        <f>IF(OR('Services - NHC'!E44="",'Services - NHC'!E44="[Enter service]"),"",'Services - NHC'!E44)</f>
        <v/>
      </c>
      <c r="F45" s="68" t="str">
        <f>IF(OR('Services - NHC'!F44="",'Services - NHC'!F44="[Select]"),"",'Services - NHC'!F44)</f>
        <v/>
      </c>
      <c r="G45" s="26"/>
      <c r="H45" s="73"/>
      <c r="I45" s="73"/>
      <c r="J45" s="73"/>
      <c r="K45" s="73"/>
      <c r="L45" s="73"/>
      <c r="M45" s="73"/>
      <c r="N45" s="73"/>
      <c r="O45" s="73"/>
      <c r="P45" s="73"/>
      <c r="Q45" s="73"/>
      <c r="R45" s="425">
        <f t="shared" si="0"/>
        <v>0</v>
      </c>
      <c r="S45" s="31"/>
    </row>
    <row r="46" spans="3:19" ht="12" customHeight="1" x14ac:dyDescent="0.2">
      <c r="C46" s="13"/>
      <c r="D46" s="19">
        <f>'Revenue - NHC'!D47</f>
        <v>36</v>
      </c>
      <c r="E46" s="67" t="str">
        <f>IF(OR('Services - NHC'!E45="",'Services - NHC'!E45="[Enter service]"),"",'Services - NHC'!E45)</f>
        <v/>
      </c>
      <c r="F46" s="68" t="str">
        <f>IF(OR('Services - NHC'!F45="",'Services - NHC'!F45="[Select]"),"",'Services - NHC'!F45)</f>
        <v/>
      </c>
      <c r="G46" s="26"/>
      <c r="H46" s="73"/>
      <c r="I46" s="73"/>
      <c r="J46" s="73"/>
      <c r="K46" s="73"/>
      <c r="L46" s="73"/>
      <c r="M46" s="73"/>
      <c r="N46" s="73"/>
      <c r="O46" s="73"/>
      <c r="P46" s="73"/>
      <c r="Q46" s="73"/>
      <c r="R46" s="425">
        <f t="shared" si="0"/>
        <v>0</v>
      </c>
      <c r="S46" s="31"/>
    </row>
    <row r="47" spans="3:19" ht="12" customHeight="1" x14ac:dyDescent="0.2">
      <c r="C47" s="13"/>
      <c r="D47" s="19">
        <f>'Revenue - NHC'!D48</f>
        <v>37</v>
      </c>
      <c r="E47" s="67" t="str">
        <f>IF(OR('Services - NHC'!E46="",'Services - NHC'!E46="[Enter service]"),"",'Services - NHC'!E46)</f>
        <v/>
      </c>
      <c r="F47" s="68" t="str">
        <f>IF(OR('Services - NHC'!F46="",'Services - NHC'!F46="[Select]"),"",'Services - NHC'!F46)</f>
        <v/>
      </c>
      <c r="G47" s="26"/>
      <c r="H47" s="73"/>
      <c r="I47" s="73"/>
      <c r="J47" s="73"/>
      <c r="K47" s="73"/>
      <c r="L47" s="73"/>
      <c r="M47" s="73"/>
      <c r="N47" s="73"/>
      <c r="O47" s="73"/>
      <c r="P47" s="73"/>
      <c r="Q47" s="73"/>
      <c r="R47" s="425">
        <f t="shared" si="0"/>
        <v>0</v>
      </c>
      <c r="S47" s="31"/>
    </row>
    <row r="48" spans="3:19" ht="12" customHeight="1" x14ac:dyDescent="0.2">
      <c r="C48" s="13"/>
      <c r="D48" s="19">
        <f>'Revenue - NHC'!D49</f>
        <v>38</v>
      </c>
      <c r="E48" s="67" t="str">
        <f>IF(OR('Services - NHC'!E47="",'Services - NHC'!E47="[Enter service]"),"",'Services - NHC'!E47)</f>
        <v/>
      </c>
      <c r="F48" s="68" t="str">
        <f>IF(OR('Services - NHC'!F47="",'Services - NHC'!F47="[Select]"),"",'Services - NHC'!F47)</f>
        <v/>
      </c>
      <c r="G48" s="26"/>
      <c r="H48" s="73"/>
      <c r="I48" s="73"/>
      <c r="J48" s="73"/>
      <c r="K48" s="73"/>
      <c r="L48" s="73"/>
      <c r="M48" s="73"/>
      <c r="N48" s="73"/>
      <c r="O48" s="73"/>
      <c r="P48" s="73"/>
      <c r="Q48" s="73"/>
      <c r="R48" s="425">
        <f t="shared" si="0"/>
        <v>0</v>
      </c>
      <c r="S48" s="31"/>
    </row>
    <row r="49" spans="3:19" ht="12" customHeight="1" x14ac:dyDescent="0.2">
      <c r="C49" s="13"/>
      <c r="D49" s="19">
        <f>'Revenue - NHC'!D50</f>
        <v>39</v>
      </c>
      <c r="E49" s="67" t="str">
        <f>IF(OR('Services - NHC'!E48="",'Services - NHC'!E48="[Enter service]"),"",'Services - NHC'!E48)</f>
        <v/>
      </c>
      <c r="F49" s="68" t="str">
        <f>IF(OR('Services - NHC'!F48="",'Services - NHC'!F48="[Select]"),"",'Services - NHC'!F48)</f>
        <v/>
      </c>
      <c r="G49" s="26"/>
      <c r="H49" s="73"/>
      <c r="I49" s="73"/>
      <c r="J49" s="73"/>
      <c r="K49" s="73"/>
      <c r="L49" s="73"/>
      <c r="M49" s="73"/>
      <c r="N49" s="73"/>
      <c r="O49" s="73"/>
      <c r="P49" s="73"/>
      <c r="Q49" s="73"/>
      <c r="R49" s="425">
        <f t="shared" si="0"/>
        <v>0</v>
      </c>
      <c r="S49" s="31"/>
    </row>
    <row r="50" spans="3:19" ht="12" customHeight="1" x14ac:dyDescent="0.2">
      <c r="C50" s="13"/>
      <c r="D50" s="19">
        <f>'Revenue - NHC'!D51</f>
        <v>40</v>
      </c>
      <c r="E50" s="67" t="str">
        <f>IF(OR('Services - NHC'!E49="",'Services - NHC'!E49="[Enter service]"),"",'Services - NHC'!E49)</f>
        <v/>
      </c>
      <c r="F50" s="68" t="str">
        <f>IF(OR('Services - NHC'!F49="",'Services - NHC'!F49="[Select]"),"",'Services - NHC'!F49)</f>
        <v/>
      </c>
      <c r="G50" s="26"/>
      <c r="H50" s="73"/>
      <c r="I50" s="73"/>
      <c r="J50" s="73"/>
      <c r="K50" s="73"/>
      <c r="L50" s="73"/>
      <c r="M50" s="73"/>
      <c r="N50" s="73"/>
      <c r="O50" s="73"/>
      <c r="P50" s="73"/>
      <c r="Q50" s="73"/>
      <c r="R50" s="425">
        <f t="shared" si="0"/>
        <v>0</v>
      </c>
      <c r="S50" s="31"/>
    </row>
    <row r="51" spans="3:19" ht="12" customHeight="1" x14ac:dyDescent="0.2">
      <c r="C51" s="13"/>
      <c r="D51" s="19">
        <f>'Revenue - NHC'!D52</f>
        <v>41</v>
      </c>
      <c r="E51" s="67" t="str">
        <f>IF(OR('Services - NHC'!E50="",'Services - NHC'!E50="[Enter service]"),"",'Services - NHC'!E50)</f>
        <v/>
      </c>
      <c r="F51" s="68" t="str">
        <f>IF(OR('Services - NHC'!F50="",'Services - NHC'!F50="[Select]"),"",'Services - NHC'!F50)</f>
        <v/>
      </c>
      <c r="G51" s="26"/>
      <c r="H51" s="73"/>
      <c r="I51" s="73"/>
      <c r="J51" s="73"/>
      <c r="K51" s="73"/>
      <c r="L51" s="73"/>
      <c r="M51" s="73"/>
      <c r="N51" s="73"/>
      <c r="O51" s="73"/>
      <c r="P51" s="73"/>
      <c r="Q51" s="73"/>
      <c r="R51" s="425">
        <f t="shared" si="0"/>
        <v>0</v>
      </c>
      <c r="S51" s="31"/>
    </row>
    <row r="52" spans="3:19" ht="12" customHeight="1" x14ac:dyDescent="0.2">
      <c r="C52" s="13"/>
      <c r="D52" s="19">
        <f>'Revenue - NHC'!D53</f>
        <v>42</v>
      </c>
      <c r="E52" s="67" t="str">
        <f>IF(OR('Services - NHC'!E51="",'Services - NHC'!E51="[Enter service]"),"",'Services - NHC'!E51)</f>
        <v/>
      </c>
      <c r="F52" s="68" t="str">
        <f>IF(OR('Services - NHC'!F51="",'Services - NHC'!F51="[Select]"),"",'Services - NHC'!F51)</f>
        <v/>
      </c>
      <c r="G52" s="26"/>
      <c r="H52" s="73"/>
      <c r="I52" s="73"/>
      <c r="J52" s="73"/>
      <c r="K52" s="73"/>
      <c r="L52" s="73"/>
      <c r="M52" s="73"/>
      <c r="N52" s="73"/>
      <c r="O52" s="73"/>
      <c r="P52" s="73"/>
      <c r="Q52" s="73"/>
      <c r="R52" s="425">
        <f t="shared" si="0"/>
        <v>0</v>
      </c>
      <c r="S52" s="31"/>
    </row>
    <row r="53" spans="3:19" ht="12" customHeight="1" x14ac:dyDescent="0.2">
      <c r="C53" s="13"/>
      <c r="D53" s="19">
        <f>'Revenue - NHC'!D54</f>
        <v>43</v>
      </c>
      <c r="E53" s="67" t="str">
        <f>IF(OR('Services - NHC'!E52="",'Services - NHC'!E52="[Enter service]"),"",'Services - NHC'!E52)</f>
        <v/>
      </c>
      <c r="F53" s="68" t="str">
        <f>IF(OR('Services - NHC'!F52="",'Services - NHC'!F52="[Select]"),"",'Services - NHC'!F52)</f>
        <v/>
      </c>
      <c r="G53" s="26"/>
      <c r="H53" s="73"/>
      <c r="I53" s="73"/>
      <c r="J53" s="73"/>
      <c r="K53" s="73"/>
      <c r="L53" s="73"/>
      <c r="M53" s="73"/>
      <c r="N53" s="73"/>
      <c r="O53" s="73"/>
      <c r="P53" s="73"/>
      <c r="Q53" s="73"/>
      <c r="R53" s="425">
        <f t="shared" si="0"/>
        <v>0</v>
      </c>
      <c r="S53" s="31"/>
    </row>
    <row r="54" spans="3:19" ht="12" customHeight="1" x14ac:dyDescent="0.2">
      <c r="C54" s="13"/>
      <c r="D54" s="19">
        <f>'Revenue - NHC'!D55</f>
        <v>44</v>
      </c>
      <c r="E54" s="67" t="str">
        <f>IF(OR('Services - NHC'!E53="",'Services - NHC'!E53="[Enter service]"),"",'Services - NHC'!E53)</f>
        <v/>
      </c>
      <c r="F54" s="68" t="str">
        <f>IF(OR('Services - NHC'!F53="",'Services - NHC'!F53="[Select]"),"",'Services - NHC'!F53)</f>
        <v/>
      </c>
      <c r="G54" s="26"/>
      <c r="H54" s="73"/>
      <c r="I54" s="73"/>
      <c r="J54" s="73"/>
      <c r="K54" s="73"/>
      <c r="L54" s="73"/>
      <c r="M54" s="73"/>
      <c r="N54" s="73"/>
      <c r="O54" s="73"/>
      <c r="P54" s="73"/>
      <c r="Q54" s="73"/>
      <c r="R54" s="425">
        <f t="shared" si="0"/>
        <v>0</v>
      </c>
      <c r="S54" s="31"/>
    </row>
    <row r="55" spans="3:19" ht="12" customHeight="1" x14ac:dyDescent="0.2">
      <c r="C55" s="13"/>
      <c r="D55" s="19">
        <f>'Revenue - NHC'!D56</f>
        <v>45</v>
      </c>
      <c r="E55" s="67" t="str">
        <f>IF(OR('Services - NHC'!E54="",'Services - NHC'!E54="[Enter service]"),"",'Services - NHC'!E54)</f>
        <v/>
      </c>
      <c r="F55" s="68" t="str">
        <f>IF(OR('Services - NHC'!F54="",'Services - NHC'!F54="[Select]"),"",'Services - NHC'!F54)</f>
        <v/>
      </c>
      <c r="G55" s="26"/>
      <c r="H55" s="73"/>
      <c r="I55" s="73"/>
      <c r="J55" s="73"/>
      <c r="K55" s="73"/>
      <c r="L55" s="73"/>
      <c r="M55" s="73"/>
      <c r="N55" s="73"/>
      <c r="O55" s="73"/>
      <c r="P55" s="73"/>
      <c r="Q55" s="73"/>
      <c r="R55" s="425">
        <f t="shared" si="0"/>
        <v>0</v>
      </c>
      <c r="S55" s="31"/>
    </row>
    <row r="56" spans="3:19" ht="12" customHeight="1" x14ac:dyDescent="0.2">
      <c r="C56" s="13"/>
      <c r="D56" s="19">
        <f>'Revenue - NHC'!D57</f>
        <v>46</v>
      </c>
      <c r="E56" s="67" t="str">
        <f>IF(OR('Services - NHC'!E55="",'Services - NHC'!E55="[Enter service]"),"",'Services - NHC'!E55)</f>
        <v/>
      </c>
      <c r="F56" s="68" t="str">
        <f>IF(OR('Services - NHC'!F55="",'Services - NHC'!F55="[Select]"),"",'Services - NHC'!F55)</f>
        <v/>
      </c>
      <c r="G56" s="26"/>
      <c r="H56" s="73"/>
      <c r="I56" s="73"/>
      <c r="J56" s="73"/>
      <c r="K56" s="73"/>
      <c r="L56" s="73"/>
      <c r="M56" s="73"/>
      <c r="N56" s="73"/>
      <c r="O56" s="73"/>
      <c r="P56" s="73"/>
      <c r="Q56" s="73"/>
      <c r="R56" s="425">
        <f t="shared" si="0"/>
        <v>0</v>
      </c>
      <c r="S56" s="31"/>
    </row>
    <row r="57" spans="3:19" ht="12" customHeight="1" x14ac:dyDescent="0.2">
      <c r="C57" s="13"/>
      <c r="D57" s="19">
        <f>'Revenue - NHC'!D58</f>
        <v>47</v>
      </c>
      <c r="E57" s="67" t="str">
        <f>IF(OR('Services - NHC'!E56="",'Services - NHC'!E56="[Enter service]"),"",'Services - NHC'!E56)</f>
        <v/>
      </c>
      <c r="F57" s="68" t="str">
        <f>IF(OR('Services - NHC'!F56="",'Services - NHC'!F56="[Select]"),"",'Services - NHC'!F56)</f>
        <v/>
      </c>
      <c r="G57" s="26"/>
      <c r="H57" s="73"/>
      <c r="I57" s="73"/>
      <c r="J57" s="73"/>
      <c r="K57" s="73"/>
      <c r="L57" s="73"/>
      <c r="M57" s="73"/>
      <c r="N57" s="73"/>
      <c r="O57" s="73"/>
      <c r="P57" s="73"/>
      <c r="Q57" s="73"/>
      <c r="R57" s="425">
        <f t="shared" si="0"/>
        <v>0</v>
      </c>
      <c r="S57" s="31"/>
    </row>
    <row r="58" spans="3:19" ht="12" customHeight="1" x14ac:dyDescent="0.2">
      <c r="C58" s="13"/>
      <c r="D58" s="19">
        <f>'Revenue - NHC'!D59</f>
        <v>48</v>
      </c>
      <c r="E58" s="67" t="str">
        <f>IF(OR('Services - NHC'!E57="",'Services - NHC'!E57="[Enter service]"),"",'Services - NHC'!E57)</f>
        <v/>
      </c>
      <c r="F58" s="68" t="str">
        <f>IF(OR('Services - NHC'!F57="",'Services - NHC'!F57="[Select]"),"",'Services - NHC'!F57)</f>
        <v/>
      </c>
      <c r="G58" s="26"/>
      <c r="H58" s="73"/>
      <c r="I58" s="73"/>
      <c r="J58" s="73"/>
      <c r="K58" s="73"/>
      <c r="L58" s="73"/>
      <c r="M58" s="73"/>
      <c r="N58" s="73"/>
      <c r="O58" s="73"/>
      <c r="P58" s="73"/>
      <c r="Q58" s="73"/>
      <c r="R58" s="425">
        <f t="shared" si="0"/>
        <v>0</v>
      </c>
      <c r="S58" s="31"/>
    </row>
    <row r="59" spans="3:19" ht="12" customHeight="1" x14ac:dyDescent="0.2">
      <c r="C59" s="13"/>
      <c r="D59" s="19">
        <f>'Revenue - NHC'!D60</f>
        <v>49</v>
      </c>
      <c r="E59" s="67" t="str">
        <f>IF(OR('Services - NHC'!E58="",'Services - NHC'!E58="[Enter service]"),"",'Services - NHC'!E58)</f>
        <v/>
      </c>
      <c r="F59" s="68" t="str">
        <f>IF(OR('Services - NHC'!F58="",'Services - NHC'!F58="[Select]"),"",'Services - NHC'!F58)</f>
        <v/>
      </c>
      <c r="G59" s="26"/>
      <c r="H59" s="73"/>
      <c r="I59" s="73"/>
      <c r="J59" s="73"/>
      <c r="K59" s="73"/>
      <c r="L59" s="73"/>
      <c r="M59" s="73"/>
      <c r="N59" s="73"/>
      <c r="O59" s="73"/>
      <c r="P59" s="73"/>
      <c r="Q59" s="73"/>
      <c r="R59" s="425">
        <f t="shared" si="0"/>
        <v>0</v>
      </c>
      <c r="S59" s="31"/>
    </row>
    <row r="60" spans="3:19" ht="12" customHeight="1" x14ac:dyDescent="0.2">
      <c r="C60" s="13"/>
      <c r="D60" s="19">
        <f>'Revenue - NHC'!D61</f>
        <v>50</v>
      </c>
      <c r="E60" s="67" t="str">
        <f>IF(OR('Services - NHC'!E59="",'Services - NHC'!E59="[Enter service]"),"",'Services - NHC'!E59)</f>
        <v/>
      </c>
      <c r="F60" s="68" t="str">
        <f>IF(OR('Services - NHC'!F59="",'Services - NHC'!F59="[Select]"),"",'Services - NHC'!F59)</f>
        <v/>
      </c>
      <c r="G60" s="26"/>
      <c r="H60" s="73"/>
      <c r="I60" s="73"/>
      <c r="J60" s="73"/>
      <c r="K60" s="73"/>
      <c r="L60" s="73"/>
      <c r="M60" s="73"/>
      <c r="N60" s="73"/>
      <c r="O60" s="73"/>
      <c r="P60" s="73"/>
      <c r="Q60" s="73"/>
      <c r="R60" s="425">
        <f t="shared" si="0"/>
        <v>0</v>
      </c>
      <c r="S60" s="31"/>
    </row>
    <row r="61" spans="3:19" ht="12" customHeight="1" x14ac:dyDescent="0.2">
      <c r="C61" s="13"/>
      <c r="D61" s="19">
        <f>'Revenue - NHC'!D62</f>
        <v>51</v>
      </c>
      <c r="E61" s="67" t="str">
        <f>IF(OR('Services - NHC'!E60="",'Services - NHC'!E60="[Enter service]"),"",'Services - NHC'!E60)</f>
        <v/>
      </c>
      <c r="F61" s="68" t="str">
        <f>IF(OR('Services - NHC'!F60="",'Services - NHC'!F60="[Select]"),"",'Services - NHC'!F60)</f>
        <v/>
      </c>
      <c r="G61" s="26"/>
      <c r="H61" s="73"/>
      <c r="I61" s="73"/>
      <c r="J61" s="73"/>
      <c r="K61" s="73"/>
      <c r="L61" s="73"/>
      <c r="M61" s="73"/>
      <c r="N61" s="73"/>
      <c r="O61" s="73"/>
      <c r="P61" s="73"/>
      <c r="Q61" s="73"/>
      <c r="R61" s="425">
        <f t="shared" si="0"/>
        <v>0</v>
      </c>
      <c r="S61" s="31"/>
    </row>
    <row r="62" spans="3:19" ht="12" customHeight="1" x14ac:dyDescent="0.2">
      <c r="C62" s="13"/>
      <c r="D62" s="19">
        <f>'Revenue - NHC'!D63</f>
        <v>52</v>
      </c>
      <c r="E62" s="67" t="str">
        <f>IF(OR('Services - NHC'!E61="",'Services - NHC'!E61="[Enter service]"),"",'Services - NHC'!E61)</f>
        <v/>
      </c>
      <c r="F62" s="68" t="str">
        <f>IF(OR('Services - NHC'!F61="",'Services - NHC'!F61="[Select]"),"",'Services - NHC'!F61)</f>
        <v/>
      </c>
      <c r="G62" s="26"/>
      <c r="H62" s="73"/>
      <c r="I62" s="73"/>
      <c r="J62" s="73"/>
      <c r="K62" s="73"/>
      <c r="L62" s="73"/>
      <c r="M62" s="73"/>
      <c r="N62" s="73"/>
      <c r="O62" s="73"/>
      <c r="P62" s="73"/>
      <c r="Q62" s="73"/>
      <c r="R62" s="425">
        <f t="shared" si="0"/>
        <v>0</v>
      </c>
      <c r="S62" s="31"/>
    </row>
    <row r="63" spans="3:19" ht="12" customHeight="1" x14ac:dyDescent="0.2">
      <c r="C63" s="13"/>
      <c r="D63" s="19">
        <f>'Revenue - NHC'!D64</f>
        <v>53</v>
      </c>
      <c r="E63" s="67" t="str">
        <f>IF(OR('Services - NHC'!E62="",'Services - NHC'!E62="[Enter service]"),"",'Services - NHC'!E62)</f>
        <v/>
      </c>
      <c r="F63" s="68" t="str">
        <f>IF(OR('Services - NHC'!F62="",'Services - NHC'!F62="[Select]"),"",'Services - NHC'!F62)</f>
        <v/>
      </c>
      <c r="G63" s="26"/>
      <c r="H63" s="73"/>
      <c r="I63" s="73"/>
      <c r="J63" s="73"/>
      <c r="K63" s="73"/>
      <c r="L63" s="73"/>
      <c r="M63" s="73"/>
      <c r="N63" s="73"/>
      <c r="O63" s="73"/>
      <c r="P63" s="73"/>
      <c r="Q63" s="73"/>
      <c r="R63" s="425">
        <f t="shared" si="0"/>
        <v>0</v>
      </c>
      <c r="S63" s="31"/>
    </row>
    <row r="64" spans="3:19" ht="12" customHeight="1" x14ac:dyDescent="0.2">
      <c r="C64" s="13"/>
      <c r="D64" s="19">
        <f>'Revenue - NHC'!D65</f>
        <v>54</v>
      </c>
      <c r="E64" s="67" t="str">
        <f>IF(OR('Services - NHC'!E63="",'Services - NHC'!E63="[Enter service]"),"",'Services - NHC'!E63)</f>
        <v/>
      </c>
      <c r="F64" s="68" t="str">
        <f>IF(OR('Services - NHC'!F63="",'Services - NHC'!F63="[Select]"),"",'Services - NHC'!F63)</f>
        <v/>
      </c>
      <c r="G64" s="26"/>
      <c r="H64" s="73"/>
      <c r="I64" s="73"/>
      <c r="J64" s="73"/>
      <c r="K64" s="73"/>
      <c r="L64" s="73"/>
      <c r="M64" s="73"/>
      <c r="N64" s="73"/>
      <c r="O64" s="73"/>
      <c r="P64" s="73"/>
      <c r="Q64" s="73"/>
      <c r="R64" s="425">
        <f t="shared" si="0"/>
        <v>0</v>
      </c>
      <c r="S64" s="31"/>
    </row>
    <row r="65" spans="3:19" ht="12" customHeight="1" x14ac:dyDescent="0.2">
      <c r="C65" s="13"/>
      <c r="D65" s="19">
        <f>'Revenue - NHC'!D66</f>
        <v>55</v>
      </c>
      <c r="E65" s="67" t="str">
        <f>IF(OR('Services - NHC'!E64="",'Services - NHC'!E64="[Enter service]"),"",'Services - NHC'!E64)</f>
        <v/>
      </c>
      <c r="F65" s="68" t="str">
        <f>IF(OR('Services - NHC'!F64="",'Services - NHC'!F64="[Select]"),"",'Services - NHC'!F64)</f>
        <v/>
      </c>
      <c r="G65" s="26"/>
      <c r="H65" s="73"/>
      <c r="I65" s="73"/>
      <c r="J65" s="73"/>
      <c r="K65" s="73"/>
      <c r="L65" s="73"/>
      <c r="M65" s="73"/>
      <c r="N65" s="73"/>
      <c r="O65" s="73"/>
      <c r="P65" s="73"/>
      <c r="Q65" s="73"/>
      <c r="R65" s="425">
        <f t="shared" si="0"/>
        <v>0</v>
      </c>
      <c r="S65" s="31"/>
    </row>
    <row r="66" spans="3:19" ht="12" customHeight="1" x14ac:dyDescent="0.2">
      <c r="C66" s="13"/>
      <c r="D66" s="19">
        <f>'Revenue - NHC'!D67</f>
        <v>56</v>
      </c>
      <c r="E66" s="67" t="str">
        <f>IF(OR('Services - NHC'!E65="",'Services - NHC'!E65="[Enter service]"),"",'Services - NHC'!E65)</f>
        <v/>
      </c>
      <c r="F66" s="68" t="str">
        <f>IF(OR('Services - NHC'!F65="",'Services - NHC'!F65="[Select]"),"",'Services - NHC'!F65)</f>
        <v/>
      </c>
      <c r="G66" s="26"/>
      <c r="H66" s="73"/>
      <c r="I66" s="73"/>
      <c r="J66" s="73"/>
      <c r="K66" s="73"/>
      <c r="L66" s="73"/>
      <c r="M66" s="73"/>
      <c r="N66" s="73"/>
      <c r="O66" s="73"/>
      <c r="P66" s="73"/>
      <c r="Q66" s="73"/>
      <c r="R66" s="425">
        <f t="shared" si="0"/>
        <v>0</v>
      </c>
      <c r="S66" s="31"/>
    </row>
    <row r="67" spans="3:19" ht="12" customHeight="1" x14ac:dyDescent="0.2">
      <c r="C67" s="13"/>
      <c r="D67" s="19">
        <f>'Revenue - NHC'!D68</f>
        <v>57</v>
      </c>
      <c r="E67" s="67" t="str">
        <f>IF(OR('Services - NHC'!E66="",'Services - NHC'!E66="[Enter service]"),"",'Services - NHC'!E66)</f>
        <v/>
      </c>
      <c r="F67" s="68" t="str">
        <f>IF(OR('Services - NHC'!F66="",'Services - NHC'!F66="[Select]"),"",'Services - NHC'!F66)</f>
        <v/>
      </c>
      <c r="G67" s="26"/>
      <c r="H67" s="73"/>
      <c r="I67" s="73"/>
      <c r="J67" s="73"/>
      <c r="K67" s="73"/>
      <c r="L67" s="73"/>
      <c r="M67" s="73"/>
      <c r="N67" s="73"/>
      <c r="O67" s="73"/>
      <c r="P67" s="73"/>
      <c r="Q67" s="73"/>
      <c r="R67" s="425">
        <f t="shared" si="0"/>
        <v>0</v>
      </c>
      <c r="S67" s="31"/>
    </row>
    <row r="68" spans="3:19" ht="12" customHeight="1" x14ac:dyDescent="0.2">
      <c r="C68" s="13"/>
      <c r="D68" s="19">
        <f>'Revenue - NHC'!D69</f>
        <v>58</v>
      </c>
      <c r="E68" s="67" t="str">
        <f>IF(OR('Services - NHC'!E67="",'Services - NHC'!E67="[Enter service]"),"",'Services - NHC'!E67)</f>
        <v/>
      </c>
      <c r="F68" s="68" t="str">
        <f>IF(OR('Services - NHC'!F67="",'Services - NHC'!F67="[Select]"),"",'Services - NHC'!F67)</f>
        <v/>
      </c>
      <c r="G68" s="26"/>
      <c r="H68" s="73"/>
      <c r="I68" s="73"/>
      <c r="J68" s="73"/>
      <c r="K68" s="73"/>
      <c r="L68" s="73"/>
      <c r="M68" s="73"/>
      <c r="N68" s="73"/>
      <c r="O68" s="73"/>
      <c r="P68" s="73"/>
      <c r="Q68" s="73"/>
      <c r="R68" s="425">
        <f t="shared" si="0"/>
        <v>0</v>
      </c>
      <c r="S68" s="31"/>
    </row>
    <row r="69" spans="3:19" ht="12" customHeight="1" x14ac:dyDescent="0.2">
      <c r="C69" s="13"/>
      <c r="D69" s="19">
        <f>'Revenue - NHC'!D70</f>
        <v>59</v>
      </c>
      <c r="E69" s="67" t="str">
        <f>IF(OR('Services - NHC'!E68="",'Services - NHC'!E68="[Enter service]"),"",'Services - NHC'!E68)</f>
        <v/>
      </c>
      <c r="F69" s="68" t="str">
        <f>IF(OR('Services - NHC'!F68="",'Services - NHC'!F68="[Select]"),"",'Services - NHC'!F68)</f>
        <v/>
      </c>
      <c r="G69" s="26"/>
      <c r="H69" s="73"/>
      <c r="I69" s="73"/>
      <c r="J69" s="73"/>
      <c r="K69" s="73"/>
      <c r="L69" s="73"/>
      <c r="M69" s="73"/>
      <c r="N69" s="73"/>
      <c r="O69" s="73"/>
      <c r="P69" s="73"/>
      <c r="Q69" s="73"/>
      <c r="R69" s="425">
        <f t="shared" si="0"/>
        <v>0</v>
      </c>
      <c r="S69" s="31"/>
    </row>
    <row r="70" spans="3:19" ht="12" customHeight="1" x14ac:dyDescent="0.2">
      <c r="C70" s="13"/>
      <c r="D70" s="19">
        <f>'Revenue - NHC'!D71</f>
        <v>60</v>
      </c>
      <c r="E70" s="67" t="str">
        <f>IF(OR('Services - NHC'!E69="",'Services - NHC'!E69="[Enter service]"),"",'Services - NHC'!E69)</f>
        <v/>
      </c>
      <c r="F70" s="68" t="str">
        <f>IF(OR('Services - NHC'!F69="",'Services - NHC'!F69="[Select]"),"",'Services - NHC'!F69)</f>
        <v/>
      </c>
      <c r="G70" s="26"/>
      <c r="H70" s="73"/>
      <c r="I70" s="73"/>
      <c r="J70" s="73"/>
      <c r="K70" s="73"/>
      <c r="L70" s="73"/>
      <c r="M70" s="73"/>
      <c r="N70" s="73"/>
      <c r="O70" s="73"/>
      <c r="P70" s="73"/>
      <c r="Q70" s="73"/>
      <c r="R70" s="425">
        <f t="shared" si="0"/>
        <v>0</v>
      </c>
      <c r="S70" s="31"/>
    </row>
    <row r="71" spans="3:19" ht="12" customHeight="1" x14ac:dyDescent="0.2">
      <c r="C71" s="13"/>
      <c r="D71" s="19">
        <f>'Revenue - NHC'!D72</f>
        <v>61</v>
      </c>
      <c r="E71" s="67" t="str">
        <f>IF(OR('Services - NHC'!E70="",'Services - NHC'!E70="[Enter service]"),"",'Services - NHC'!E70)</f>
        <v/>
      </c>
      <c r="F71" s="68" t="str">
        <f>IF(OR('Services - NHC'!F70="",'Services - NHC'!F70="[Select]"),"",'Services - NHC'!F70)</f>
        <v/>
      </c>
      <c r="G71" s="26"/>
      <c r="H71" s="73"/>
      <c r="I71" s="73"/>
      <c r="J71" s="73"/>
      <c r="K71" s="73"/>
      <c r="L71" s="73"/>
      <c r="M71" s="73"/>
      <c r="N71" s="73"/>
      <c r="O71" s="73"/>
      <c r="P71" s="73"/>
      <c r="Q71" s="73"/>
      <c r="R71" s="425">
        <f t="shared" si="0"/>
        <v>0</v>
      </c>
      <c r="S71" s="31"/>
    </row>
    <row r="72" spans="3:19" ht="12" customHeight="1" x14ac:dyDescent="0.2">
      <c r="C72" s="13"/>
      <c r="D72" s="19">
        <f>'Revenue - NHC'!D73</f>
        <v>62</v>
      </c>
      <c r="E72" s="67" t="str">
        <f>IF(OR('Services - NHC'!E71="",'Services - NHC'!E71="[Enter service]"),"",'Services - NHC'!E71)</f>
        <v/>
      </c>
      <c r="F72" s="68" t="str">
        <f>IF(OR('Services - NHC'!F71="",'Services - NHC'!F71="[Select]"),"",'Services - NHC'!F71)</f>
        <v/>
      </c>
      <c r="G72" s="26"/>
      <c r="H72" s="73"/>
      <c r="I72" s="73"/>
      <c r="J72" s="73"/>
      <c r="K72" s="73"/>
      <c r="L72" s="73"/>
      <c r="M72" s="73"/>
      <c r="N72" s="73"/>
      <c r="O72" s="73"/>
      <c r="P72" s="73"/>
      <c r="Q72" s="73"/>
      <c r="R72" s="425">
        <f t="shared" si="0"/>
        <v>0</v>
      </c>
      <c r="S72" s="31"/>
    </row>
    <row r="73" spans="3:19" ht="12" customHeight="1" x14ac:dyDescent="0.2">
      <c r="C73" s="13"/>
      <c r="D73" s="19">
        <f>'Revenue - NHC'!D74</f>
        <v>63</v>
      </c>
      <c r="E73" s="67" t="str">
        <f>IF(OR('Services - NHC'!E72="",'Services - NHC'!E72="[Enter service]"),"",'Services - NHC'!E72)</f>
        <v/>
      </c>
      <c r="F73" s="68" t="str">
        <f>IF(OR('Services - NHC'!F72="",'Services - NHC'!F72="[Select]"),"",'Services - NHC'!F72)</f>
        <v/>
      </c>
      <c r="G73" s="26"/>
      <c r="H73" s="73"/>
      <c r="I73" s="73"/>
      <c r="J73" s="73"/>
      <c r="K73" s="73"/>
      <c r="L73" s="73"/>
      <c r="M73" s="73"/>
      <c r="N73" s="73"/>
      <c r="O73" s="73"/>
      <c r="P73" s="73"/>
      <c r="Q73" s="73"/>
      <c r="R73" s="425">
        <f t="shared" si="0"/>
        <v>0</v>
      </c>
      <c r="S73" s="31"/>
    </row>
    <row r="74" spans="3:19" ht="12" customHeight="1" x14ac:dyDescent="0.2">
      <c r="C74" s="13"/>
      <c r="D74" s="19">
        <f>'Revenue - NHC'!D75</f>
        <v>64</v>
      </c>
      <c r="E74" s="67" t="str">
        <f>IF(OR('Services - NHC'!E73="",'Services - NHC'!E73="[Enter service]"),"",'Services - NHC'!E73)</f>
        <v/>
      </c>
      <c r="F74" s="68" t="str">
        <f>IF(OR('Services - NHC'!F73="",'Services - NHC'!F73="[Select]"),"",'Services - NHC'!F73)</f>
        <v/>
      </c>
      <c r="G74" s="26"/>
      <c r="H74" s="73"/>
      <c r="I74" s="73"/>
      <c r="J74" s="73"/>
      <c r="K74" s="73"/>
      <c r="L74" s="73"/>
      <c r="M74" s="73"/>
      <c r="N74" s="73"/>
      <c r="O74" s="73"/>
      <c r="P74" s="73"/>
      <c r="Q74" s="73"/>
      <c r="R74" s="425">
        <f t="shared" si="0"/>
        <v>0</v>
      </c>
      <c r="S74" s="31"/>
    </row>
    <row r="75" spans="3:19" ht="12" customHeight="1" x14ac:dyDescent="0.2">
      <c r="C75" s="13"/>
      <c r="D75" s="19">
        <f>'Revenue - NHC'!D76</f>
        <v>65</v>
      </c>
      <c r="E75" s="67" t="str">
        <f>IF(OR('Services - NHC'!E74="",'Services - NHC'!E74="[Enter service]"),"",'Services - NHC'!E74)</f>
        <v/>
      </c>
      <c r="F75" s="68" t="str">
        <f>IF(OR('Services - NHC'!F74="",'Services - NHC'!F74="[Select]"),"",'Services - NHC'!F74)</f>
        <v/>
      </c>
      <c r="G75" s="26"/>
      <c r="H75" s="73"/>
      <c r="I75" s="73"/>
      <c r="J75" s="73"/>
      <c r="K75" s="73"/>
      <c r="L75" s="73"/>
      <c r="M75" s="73"/>
      <c r="N75" s="73"/>
      <c r="O75" s="73"/>
      <c r="P75" s="73"/>
      <c r="Q75" s="73"/>
      <c r="R75" s="425">
        <f t="shared" si="0"/>
        <v>0</v>
      </c>
      <c r="S75" s="31"/>
    </row>
    <row r="76" spans="3:19" ht="12" customHeight="1" x14ac:dyDescent="0.2">
      <c r="C76" s="13"/>
      <c r="D76" s="19">
        <f>'Revenue - NHC'!D77</f>
        <v>66</v>
      </c>
      <c r="E76" s="67" t="str">
        <f>IF(OR('Services - NHC'!E75="",'Services - NHC'!E75="[Enter service]"),"",'Services - NHC'!E75)</f>
        <v/>
      </c>
      <c r="F76" s="68" t="str">
        <f>IF(OR('Services - NHC'!F75="",'Services - NHC'!F75="[Select]"),"",'Services - NHC'!F75)</f>
        <v/>
      </c>
      <c r="G76" s="26"/>
      <c r="H76" s="73"/>
      <c r="I76" s="73"/>
      <c r="J76" s="73"/>
      <c r="K76" s="73"/>
      <c r="L76" s="73"/>
      <c r="M76" s="73"/>
      <c r="N76" s="73"/>
      <c r="O76" s="73"/>
      <c r="P76" s="73"/>
      <c r="Q76" s="73"/>
      <c r="R76" s="425">
        <f t="shared" si="0"/>
        <v>0</v>
      </c>
      <c r="S76" s="31"/>
    </row>
    <row r="77" spans="3:19" ht="12" customHeight="1" x14ac:dyDescent="0.2">
      <c r="C77" s="13"/>
      <c r="D77" s="19">
        <f>'Revenue - NHC'!D78</f>
        <v>67</v>
      </c>
      <c r="E77" s="67" t="str">
        <f>IF(OR('Services - NHC'!E76="",'Services - NHC'!E76="[Enter service]"),"",'Services - NHC'!E76)</f>
        <v/>
      </c>
      <c r="F77" s="68" t="str">
        <f>IF(OR('Services - NHC'!F76="",'Services - NHC'!F76="[Select]"),"",'Services - NHC'!F76)</f>
        <v/>
      </c>
      <c r="G77" s="26"/>
      <c r="H77" s="73"/>
      <c r="I77" s="73"/>
      <c r="J77" s="73"/>
      <c r="K77" s="73"/>
      <c r="L77" s="73"/>
      <c r="M77" s="73"/>
      <c r="N77" s="73"/>
      <c r="O77" s="73"/>
      <c r="P77" s="73"/>
      <c r="Q77" s="73"/>
      <c r="R77" s="425">
        <f t="shared" si="0"/>
        <v>0</v>
      </c>
      <c r="S77" s="31"/>
    </row>
    <row r="78" spans="3:19" ht="12" customHeight="1" x14ac:dyDescent="0.2">
      <c r="C78" s="13"/>
      <c r="D78" s="19">
        <f>'Revenue - NHC'!D79</f>
        <v>68</v>
      </c>
      <c r="E78" s="67" t="str">
        <f>IF(OR('Services - NHC'!E77="",'Services - NHC'!E77="[Enter service]"),"",'Services - NHC'!E77)</f>
        <v/>
      </c>
      <c r="F78" s="68" t="str">
        <f>IF(OR('Services - NHC'!F77="",'Services - NHC'!F77="[Select]"),"",'Services - NHC'!F77)</f>
        <v/>
      </c>
      <c r="G78" s="26"/>
      <c r="H78" s="73"/>
      <c r="I78" s="73"/>
      <c r="J78" s="73"/>
      <c r="K78" s="73"/>
      <c r="L78" s="73"/>
      <c r="M78" s="73"/>
      <c r="N78" s="73"/>
      <c r="O78" s="73"/>
      <c r="P78" s="73"/>
      <c r="Q78" s="73"/>
      <c r="R78" s="425">
        <f t="shared" si="0"/>
        <v>0</v>
      </c>
      <c r="S78" s="31"/>
    </row>
    <row r="79" spans="3:19" ht="12" customHeight="1" x14ac:dyDescent="0.2">
      <c r="C79" s="13"/>
      <c r="D79" s="19">
        <f>'Revenue - NHC'!D80</f>
        <v>69</v>
      </c>
      <c r="E79" s="67" t="str">
        <f>IF(OR('Services - NHC'!E78="",'Services - NHC'!E78="[Enter service]"),"",'Services - NHC'!E78)</f>
        <v/>
      </c>
      <c r="F79" s="68" t="str">
        <f>IF(OR('Services - NHC'!F78="",'Services - NHC'!F78="[Select]"),"",'Services - NHC'!F78)</f>
        <v/>
      </c>
      <c r="G79" s="26"/>
      <c r="H79" s="73"/>
      <c r="I79" s="73"/>
      <c r="J79" s="73"/>
      <c r="K79" s="73"/>
      <c r="L79" s="73"/>
      <c r="M79" s="73"/>
      <c r="N79" s="73"/>
      <c r="O79" s="73"/>
      <c r="P79" s="73"/>
      <c r="Q79" s="73"/>
      <c r="R79" s="425">
        <f t="shared" si="0"/>
        <v>0</v>
      </c>
      <c r="S79" s="31"/>
    </row>
    <row r="80" spans="3:19" ht="12" customHeight="1" x14ac:dyDescent="0.2">
      <c r="C80" s="13"/>
      <c r="D80" s="19">
        <f>'Revenue - NHC'!D81</f>
        <v>70</v>
      </c>
      <c r="E80" s="67" t="str">
        <f>IF(OR('Services - NHC'!E79="",'Services - NHC'!E79="[Enter service]"),"",'Services - NHC'!E79)</f>
        <v/>
      </c>
      <c r="F80" s="68" t="str">
        <f>IF(OR('Services - NHC'!F79="",'Services - NHC'!F79="[Select]"),"",'Services - NHC'!F79)</f>
        <v/>
      </c>
      <c r="G80" s="26"/>
      <c r="H80" s="73"/>
      <c r="I80" s="73"/>
      <c r="J80" s="73"/>
      <c r="K80" s="73"/>
      <c r="L80" s="73"/>
      <c r="M80" s="73"/>
      <c r="N80" s="73"/>
      <c r="O80" s="73"/>
      <c r="P80" s="73"/>
      <c r="Q80" s="73"/>
      <c r="R80" s="425">
        <f t="shared" si="0"/>
        <v>0</v>
      </c>
      <c r="S80" s="31"/>
    </row>
    <row r="81" spans="3:19" ht="12" customHeight="1" x14ac:dyDescent="0.2">
      <c r="C81" s="13"/>
      <c r="D81" s="19">
        <f>'Revenue - NHC'!D82</f>
        <v>71</v>
      </c>
      <c r="E81" s="67" t="str">
        <f>IF(OR('Services - NHC'!E80="",'Services - NHC'!E80="[Enter service]"),"",'Services - NHC'!E80)</f>
        <v/>
      </c>
      <c r="F81" s="68" t="str">
        <f>IF(OR('Services - NHC'!F80="",'Services - NHC'!F80="[Select]"),"",'Services - NHC'!F80)</f>
        <v/>
      </c>
      <c r="G81" s="26"/>
      <c r="H81" s="73"/>
      <c r="I81" s="73"/>
      <c r="J81" s="73"/>
      <c r="K81" s="73"/>
      <c r="L81" s="73"/>
      <c r="M81" s="73"/>
      <c r="N81" s="73"/>
      <c r="O81" s="73"/>
      <c r="P81" s="73"/>
      <c r="Q81" s="73"/>
      <c r="R81" s="425">
        <f t="shared" si="0"/>
        <v>0</v>
      </c>
      <c r="S81" s="31"/>
    </row>
    <row r="82" spans="3:19" ht="12" customHeight="1" x14ac:dyDescent="0.2">
      <c r="C82" s="13"/>
      <c r="D82" s="19">
        <f>'Revenue - NHC'!D83</f>
        <v>72</v>
      </c>
      <c r="E82" s="67" t="str">
        <f>IF(OR('Services - NHC'!E81="",'Services - NHC'!E81="[Enter service]"),"",'Services - NHC'!E81)</f>
        <v/>
      </c>
      <c r="F82" s="68" t="str">
        <f>IF(OR('Services - NHC'!F81="",'Services - NHC'!F81="[Select]"),"",'Services - NHC'!F81)</f>
        <v/>
      </c>
      <c r="G82" s="26"/>
      <c r="H82" s="73"/>
      <c r="I82" s="73"/>
      <c r="J82" s="73"/>
      <c r="K82" s="73"/>
      <c r="L82" s="73"/>
      <c r="M82" s="73"/>
      <c r="N82" s="73"/>
      <c r="O82" s="73"/>
      <c r="P82" s="73"/>
      <c r="Q82" s="73"/>
      <c r="R82" s="425">
        <f t="shared" si="0"/>
        <v>0</v>
      </c>
      <c r="S82" s="31"/>
    </row>
    <row r="83" spans="3:19" ht="12" customHeight="1" x14ac:dyDescent="0.2">
      <c r="C83" s="13"/>
      <c r="D83" s="19">
        <f>'Revenue - NHC'!D84</f>
        <v>73</v>
      </c>
      <c r="E83" s="67" t="str">
        <f>IF(OR('Services - NHC'!E82="",'Services - NHC'!E82="[Enter service]"),"",'Services - NHC'!E82)</f>
        <v/>
      </c>
      <c r="F83" s="68" t="str">
        <f>IF(OR('Services - NHC'!F82="",'Services - NHC'!F82="[Select]"),"",'Services - NHC'!F82)</f>
        <v/>
      </c>
      <c r="G83" s="26"/>
      <c r="H83" s="73"/>
      <c r="I83" s="73"/>
      <c r="J83" s="73"/>
      <c r="K83" s="73"/>
      <c r="L83" s="73"/>
      <c r="M83" s="73"/>
      <c r="N83" s="73"/>
      <c r="O83" s="73"/>
      <c r="P83" s="73"/>
      <c r="Q83" s="73"/>
      <c r="R83" s="425">
        <f t="shared" si="0"/>
        <v>0</v>
      </c>
      <c r="S83" s="31"/>
    </row>
    <row r="84" spans="3:19" ht="12" customHeight="1" x14ac:dyDescent="0.2">
      <c r="C84" s="13"/>
      <c r="D84" s="19">
        <f>'Revenue - NHC'!D85</f>
        <v>74</v>
      </c>
      <c r="E84" s="67" t="str">
        <f>IF(OR('Services - NHC'!E83="",'Services - NHC'!E83="[Enter service]"),"",'Services - NHC'!E83)</f>
        <v/>
      </c>
      <c r="F84" s="68" t="str">
        <f>IF(OR('Services - NHC'!F83="",'Services - NHC'!F83="[Select]"),"",'Services - NHC'!F83)</f>
        <v/>
      </c>
      <c r="G84" s="26"/>
      <c r="H84" s="73"/>
      <c r="I84" s="73"/>
      <c r="J84" s="73"/>
      <c r="K84" s="73"/>
      <c r="L84" s="73"/>
      <c r="M84" s="73"/>
      <c r="N84" s="73"/>
      <c r="O84" s="73"/>
      <c r="P84" s="73"/>
      <c r="Q84" s="73"/>
      <c r="R84" s="425">
        <f t="shared" si="0"/>
        <v>0</v>
      </c>
      <c r="S84" s="31"/>
    </row>
    <row r="85" spans="3:19" ht="12" customHeight="1" x14ac:dyDescent="0.2">
      <c r="C85" s="13"/>
      <c r="D85" s="19">
        <f>'Revenue - NHC'!D86</f>
        <v>75</v>
      </c>
      <c r="E85" s="67" t="str">
        <f>IF(OR('Services - NHC'!E84="",'Services - NHC'!E84="[Enter service]"),"",'Services - NHC'!E84)</f>
        <v/>
      </c>
      <c r="F85" s="68" t="str">
        <f>IF(OR('Services - NHC'!F84="",'Services - NHC'!F84="[Select]"),"",'Services - NHC'!F84)</f>
        <v/>
      </c>
      <c r="G85" s="26"/>
      <c r="H85" s="73"/>
      <c r="I85" s="73"/>
      <c r="J85" s="73"/>
      <c r="K85" s="73"/>
      <c r="L85" s="73"/>
      <c r="M85" s="73"/>
      <c r="N85" s="73"/>
      <c r="O85" s="73"/>
      <c r="P85" s="73"/>
      <c r="Q85" s="73"/>
      <c r="R85" s="425">
        <f t="shared" si="0"/>
        <v>0</v>
      </c>
      <c r="S85" s="31"/>
    </row>
    <row r="86" spans="3:19" ht="12" customHeight="1" x14ac:dyDescent="0.2">
      <c r="C86" s="13"/>
      <c r="D86" s="19">
        <f>'Revenue - NHC'!D87</f>
        <v>76</v>
      </c>
      <c r="E86" s="67" t="str">
        <f>IF(OR('Services - NHC'!E85="",'Services - NHC'!E85="[Enter service]"),"",'Services - NHC'!E85)</f>
        <v/>
      </c>
      <c r="F86" s="68" t="str">
        <f>IF(OR('Services - NHC'!F85="",'Services - NHC'!F85="[Select]"),"",'Services - NHC'!F85)</f>
        <v/>
      </c>
      <c r="G86" s="26"/>
      <c r="H86" s="73"/>
      <c r="I86" s="73"/>
      <c r="J86" s="73"/>
      <c r="K86" s="73"/>
      <c r="L86" s="73"/>
      <c r="M86" s="73"/>
      <c r="N86" s="73"/>
      <c r="O86" s="73"/>
      <c r="P86" s="73"/>
      <c r="Q86" s="73"/>
      <c r="R86" s="425">
        <f t="shared" si="0"/>
        <v>0</v>
      </c>
      <c r="S86" s="31"/>
    </row>
    <row r="87" spans="3:19" ht="12" customHeight="1" x14ac:dyDescent="0.2">
      <c r="C87" s="13"/>
      <c r="D87" s="19">
        <f>'Revenue - NHC'!D88</f>
        <v>77</v>
      </c>
      <c r="E87" s="67" t="str">
        <f>IF(OR('Services - NHC'!E86="",'Services - NHC'!E86="[Enter service]"),"",'Services - NHC'!E86)</f>
        <v/>
      </c>
      <c r="F87" s="68" t="str">
        <f>IF(OR('Services - NHC'!F86="",'Services - NHC'!F86="[Select]"),"",'Services - NHC'!F86)</f>
        <v/>
      </c>
      <c r="G87" s="26"/>
      <c r="H87" s="73"/>
      <c r="I87" s="73"/>
      <c r="J87" s="73"/>
      <c r="K87" s="73"/>
      <c r="L87" s="73"/>
      <c r="M87" s="73"/>
      <c r="N87" s="73"/>
      <c r="O87" s="73"/>
      <c r="P87" s="73"/>
      <c r="Q87" s="73"/>
      <c r="R87" s="425">
        <f t="shared" si="0"/>
        <v>0</v>
      </c>
      <c r="S87" s="31"/>
    </row>
    <row r="88" spans="3:19" ht="12" customHeight="1" x14ac:dyDescent="0.2">
      <c r="C88" s="13"/>
      <c r="D88" s="19">
        <f>'Revenue - NHC'!D89</f>
        <v>78</v>
      </c>
      <c r="E88" s="67" t="str">
        <f>IF(OR('Services - NHC'!E87="",'Services - NHC'!E87="[Enter service]"),"",'Services - NHC'!E87)</f>
        <v/>
      </c>
      <c r="F88" s="68" t="str">
        <f>IF(OR('Services - NHC'!F87="",'Services - NHC'!F87="[Select]"),"",'Services - NHC'!F87)</f>
        <v/>
      </c>
      <c r="G88" s="26"/>
      <c r="H88" s="73"/>
      <c r="I88" s="73"/>
      <c r="J88" s="73"/>
      <c r="K88" s="73"/>
      <c r="L88" s="73"/>
      <c r="M88" s="73"/>
      <c r="N88" s="73"/>
      <c r="O88" s="73"/>
      <c r="P88" s="73"/>
      <c r="Q88" s="73"/>
      <c r="R88" s="425">
        <f t="shared" si="0"/>
        <v>0</v>
      </c>
      <c r="S88" s="31"/>
    </row>
    <row r="89" spans="3:19" ht="12" customHeight="1" x14ac:dyDescent="0.2">
      <c r="C89" s="13"/>
      <c r="D89" s="19">
        <f>'Revenue - NHC'!D90</f>
        <v>79</v>
      </c>
      <c r="E89" s="67" t="str">
        <f>IF(OR('Services - NHC'!E88="",'Services - NHC'!E88="[Enter service]"),"",'Services - NHC'!E88)</f>
        <v/>
      </c>
      <c r="F89" s="68" t="str">
        <f>IF(OR('Services - NHC'!F88="",'Services - NHC'!F88="[Select]"),"",'Services - NHC'!F88)</f>
        <v/>
      </c>
      <c r="G89" s="26"/>
      <c r="H89" s="73"/>
      <c r="I89" s="73"/>
      <c r="J89" s="73"/>
      <c r="K89" s="73"/>
      <c r="L89" s="73"/>
      <c r="M89" s="73"/>
      <c r="N89" s="73"/>
      <c r="O89" s="73"/>
      <c r="P89" s="73"/>
      <c r="Q89" s="73"/>
      <c r="R89" s="425">
        <f t="shared" si="0"/>
        <v>0</v>
      </c>
      <c r="S89" s="31"/>
    </row>
    <row r="90" spans="3:19" ht="12" customHeight="1" x14ac:dyDescent="0.2">
      <c r="C90" s="13"/>
      <c r="D90" s="19">
        <f>'Revenue - NHC'!D91</f>
        <v>80</v>
      </c>
      <c r="E90" s="67" t="str">
        <f>IF(OR('Services - NHC'!E89="",'Services - NHC'!E89="[Enter service]"),"",'Services - NHC'!E89)</f>
        <v/>
      </c>
      <c r="F90" s="68" t="str">
        <f>IF(OR('Services - NHC'!F89="",'Services - NHC'!F89="[Select]"),"",'Services - NHC'!F89)</f>
        <v/>
      </c>
      <c r="G90" s="26"/>
      <c r="H90" s="73"/>
      <c r="I90" s="73"/>
      <c r="J90" s="73"/>
      <c r="K90" s="73"/>
      <c r="L90" s="73"/>
      <c r="M90" s="73"/>
      <c r="N90" s="73"/>
      <c r="O90" s="73"/>
      <c r="P90" s="73"/>
      <c r="Q90" s="73"/>
      <c r="R90" s="425">
        <f t="shared" si="0"/>
        <v>0</v>
      </c>
      <c r="S90" s="31"/>
    </row>
    <row r="91" spans="3:19" ht="12" customHeight="1" x14ac:dyDescent="0.2">
      <c r="C91" s="13"/>
      <c r="D91" s="19">
        <f>'Revenue - NHC'!D92</f>
        <v>81</v>
      </c>
      <c r="E91" s="67" t="str">
        <f>IF(OR('Services - NHC'!E90="",'Services - NHC'!E90="[Enter service]"),"",'Services - NHC'!E90)</f>
        <v/>
      </c>
      <c r="F91" s="68" t="str">
        <f>IF(OR('Services - NHC'!F90="",'Services - NHC'!F90="[Select]"),"",'Services - NHC'!F90)</f>
        <v/>
      </c>
      <c r="G91" s="26"/>
      <c r="H91" s="73"/>
      <c r="I91" s="73"/>
      <c r="J91" s="73"/>
      <c r="K91" s="73"/>
      <c r="L91" s="73"/>
      <c r="M91" s="73"/>
      <c r="N91" s="73"/>
      <c r="O91" s="73"/>
      <c r="P91" s="73"/>
      <c r="Q91" s="73"/>
      <c r="R91" s="425">
        <f t="shared" si="0"/>
        <v>0</v>
      </c>
      <c r="S91" s="31"/>
    </row>
    <row r="92" spans="3:19" ht="12" customHeight="1" x14ac:dyDescent="0.2">
      <c r="C92" s="13"/>
      <c r="D92" s="19">
        <f>'Revenue - NHC'!D93</f>
        <v>82</v>
      </c>
      <c r="E92" s="67" t="str">
        <f>IF(OR('Services - NHC'!E91="",'Services - NHC'!E91="[Enter service]"),"",'Services - NHC'!E91)</f>
        <v/>
      </c>
      <c r="F92" s="68" t="str">
        <f>IF(OR('Services - NHC'!F91="",'Services - NHC'!F91="[Select]"),"",'Services - NHC'!F91)</f>
        <v/>
      </c>
      <c r="G92" s="26"/>
      <c r="H92" s="73"/>
      <c r="I92" s="73"/>
      <c r="J92" s="73"/>
      <c r="K92" s="73"/>
      <c r="L92" s="73"/>
      <c r="M92" s="73"/>
      <c r="N92" s="73"/>
      <c r="O92" s="73"/>
      <c r="P92" s="73"/>
      <c r="Q92" s="73"/>
      <c r="R92" s="425">
        <f t="shared" si="0"/>
        <v>0</v>
      </c>
      <c r="S92" s="31"/>
    </row>
    <row r="93" spans="3:19" ht="12" customHeight="1" x14ac:dyDescent="0.2">
      <c r="C93" s="13"/>
      <c r="D93" s="19">
        <f>'Revenue - NHC'!D94</f>
        <v>83</v>
      </c>
      <c r="E93" s="67" t="str">
        <f>IF(OR('Services - NHC'!E92="",'Services - NHC'!E92="[Enter service]"),"",'Services - NHC'!E92)</f>
        <v/>
      </c>
      <c r="F93" s="68" t="str">
        <f>IF(OR('Services - NHC'!F92="",'Services - NHC'!F92="[Select]"),"",'Services - NHC'!F92)</f>
        <v/>
      </c>
      <c r="G93" s="26"/>
      <c r="H93" s="73"/>
      <c r="I93" s="73"/>
      <c r="J93" s="73"/>
      <c r="K93" s="73"/>
      <c r="L93" s="73"/>
      <c r="M93" s="73"/>
      <c r="N93" s="73"/>
      <c r="O93" s="73"/>
      <c r="P93" s="73"/>
      <c r="Q93" s="73"/>
      <c r="R93" s="425">
        <f t="shared" si="0"/>
        <v>0</v>
      </c>
      <c r="S93" s="31"/>
    </row>
    <row r="94" spans="3:19" ht="12" customHeight="1" x14ac:dyDescent="0.2">
      <c r="C94" s="13"/>
      <c r="D94" s="19">
        <f>'Revenue - NHC'!D95</f>
        <v>84</v>
      </c>
      <c r="E94" s="67" t="str">
        <f>IF(OR('Services - NHC'!E93="",'Services - NHC'!E93="[Enter service]"),"",'Services - NHC'!E93)</f>
        <v/>
      </c>
      <c r="F94" s="68" t="str">
        <f>IF(OR('Services - NHC'!F93="",'Services - NHC'!F93="[Select]"),"",'Services - NHC'!F93)</f>
        <v/>
      </c>
      <c r="G94" s="26"/>
      <c r="H94" s="73"/>
      <c r="I94" s="73"/>
      <c r="J94" s="73"/>
      <c r="K94" s="73"/>
      <c r="L94" s="73"/>
      <c r="M94" s="73"/>
      <c r="N94" s="73"/>
      <c r="O94" s="73"/>
      <c r="P94" s="73"/>
      <c r="Q94" s="73"/>
      <c r="R94" s="425">
        <f t="shared" si="0"/>
        <v>0</v>
      </c>
      <c r="S94" s="31"/>
    </row>
    <row r="95" spans="3:19" ht="12" customHeight="1" x14ac:dyDescent="0.2">
      <c r="C95" s="13"/>
      <c r="D95" s="19">
        <f>'Revenue - NHC'!D96</f>
        <v>85</v>
      </c>
      <c r="E95" s="67" t="str">
        <f>IF(OR('Services - NHC'!E94="",'Services - NHC'!E94="[Enter service]"),"",'Services - NHC'!E94)</f>
        <v/>
      </c>
      <c r="F95" s="68" t="str">
        <f>IF(OR('Services - NHC'!F94="",'Services - NHC'!F94="[Select]"),"",'Services - NHC'!F94)</f>
        <v/>
      </c>
      <c r="G95" s="26"/>
      <c r="H95" s="73"/>
      <c r="I95" s="73"/>
      <c r="J95" s="73"/>
      <c r="K95" s="73"/>
      <c r="L95" s="73"/>
      <c r="M95" s="73"/>
      <c r="N95" s="73"/>
      <c r="O95" s="73"/>
      <c r="P95" s="73"/>
      <c r="Q95" s="73"/>
      <c r="R95" s="425">
        <f t="shared" si="0"/>
        <v>0</v>
      </c>
      <c r="S95" s="31"/>
    </row>
    <row r="96" spans="3:19" ht="12" customHeight="1" x14ac:dyDescent="0.2">
      <c r="C96" s="13"/>
      <c r="D96" s="19">
        <f>'Revenue - NHC'!D97</f>
        <v>86</v>
      </c>
      <c r="E96" s="67" t="str">
        <f>IF(OR('Services - NHC'!E95="",'Services - NHC'!E95="[Enter service]"),"",'Services - NHC'!E95)</f>
        <v/>
      </c>
      <c r="F96" s="68" t="str">
        <f>IF(OR('Services - NHC'!F95="",'Services - NHC'!F95="[Select]"),"",'Services - NHC'!F95)</f>
        <v/>
      </c>
      <c r="G96" s="26"/>
      <c r="H96" s="73"/>
      <c r="I96" s="73"/>
      <c r="J96" s="73"/>
      <c r="K96" s="73"/>
      <c r="L96" s="73"/>
      <c r="M96" s="73"/>
      <c r="N96" s="73"/>
      <c r="O96" s="73"/>
      <c r="P96" s="73"/>
      <c r="Q96" s="73"/>
      <c r="R96" s="425">
        <f t="shared" si="0"/>
        <v>0</v>
      </c>
      <c r="S96" s="31"/>
    </row>
    <row r="97" spans="3:19" ht="12" customHeight="1" x14ac:dyDescent="0.2">
      <c r="C97" s="13"/>
      <c r="D97" s="19">
        <f>'Revenue - NHC'!D98</f>
        <v>87</v>
      </c>
      <c r="E97" s="67" t="str">
        <f>IF(OR('Services - NHC'!E96="",'Services - NHC'!E96="[Enter service]"),"",'Services - NHC'!E96)</f>
        <v/>
      </c>
      <c r="F97" s="68" t="str">
        <f>IF(OR('Services - NHC'!F96="",'Services - NHC'!F96="[Select]"),"",'Services - NHC'!F96)</f>
        <v/>
      </c>
      <c r="G97" s="26"/>
      <c r="H97" s="73"/>
      <c r="I97" s="73"/>
      <c r="J97" s="73"/>
      <c r="K97" s="73"/>
      <c r="L97" s="73"/>
      <c r="M97" s="73"/>
      <c r="N97" s="73"/>
      <c r="O97" s="73"/>
      <c r="P97" s="73"/>
      <c r="Q97" s="73"/>
      <c r="R97" s="425">
        <f t="shared" si="0"/>
        <v>0</v>
      </c>
      <c r="S97" s="31"/>
    </row>
    <row r="98" spans="3:19" ht="12" customHeight="1" x14ac:dyDescent="0.2">
      <c r="C98" s="13"/>
      <c r="D98" s="19">
        <f>'Revenue - NHC'!D99</f>
        <v>88</v>
      </c>
      <c r="E98" s="67" t="str">
        <f>IF(OR('Services - NHC'!E97="",'Services - NHC'!E97="[Enter service]"),"",'Services - NHC'!E97)</f>
        <v/>
      </c>
      <c r="F98" s="68" t="str">
        <f>IF(OR('Services - NHC'!F97="",'Services - NHC'!F97="[Select]"),"",'Services - NHC'!F97)</f>
        <v/>
      </c>
      <c r="G98" s="26"/>
      <c r="H98" s="73"/>
      <c r="I98" s="73"/>
      <c r="J98" s="73"/>
      <c r="K98" s="73"/>
      <c r="L98" s="73"/>
      <c r="M98" s="73"/>
      <c r="N98" s="73"/>
      <c r="O98" s="73"/>
      <c r="P98" s="73"/>
      <c r="Q98" s="73"/>
      <c r="R98" s="425">
        <f t="shared" si="0"/>
        <v>0</v>
      </c>
      <c r="S98" s="31"/>
    </row>
    <row r="99" spans="3:19" ht="12" customHeight="1" x14ac:dyDescent="0.2">
      <c r="C99" s="13"/>
      <c r="D99" s="19">
        <f>'Revenue - NHC'!D100</f>
        <v>89</v>
      </c>
      <c r="E99" s="67" t="str">
        <f>IF(OR('Services - NHC'!E98="",'Services - NHC'!E98="[Enter service]"),"",'Services - NHC'!E98)</f>
        <v/>
      </c>
      <c r="F99" s="68" t="str">
        <f>IF(OR('Services - NHC'!F98="",'Services - NHC'!F98="[Select]"),"",'Services - NHC'!F98)</f>
        <v/>
      </c>
      <c r="G99" s="26"/>
      <c r="H99" s="73"/>
      <c r="I99" s="73"/>
      <c r="J99" s="73"/>
      <c r="K99" s="73"/>
      <c r="L99" s="73"/>
      <c r="M99" s="73"/>
      <c r="N99" s="73"/>
      <c r="O99" s="73"/>
      <c r="P99" s="73"/>
      <c r="Q99" s="73"/>
      <c r="R99" s="425">
        <f t="shared" si="0"/>
        <v>0</v>
      </c>
      <c r="S99" s="31"/>
    </row>
    <row r="100" spans="3:19" ht="12" customHeight="1" x14ac:dyDescent="0.2">
      <c r="C100" s="13"/>
      <c r="D100" s="19">
        <f>'Revenue - NHC'!D101</f>
        <v>90</v>
      </c>
      <c r="E100" s="67" t="str">
        <f>IF(OR('Services - NHC'!E99="",'Services - NHC'!E99="[Enter service]"),"",'Services - NHC'!E99)</f>
        <v/>
      </c>
      <c r="F100" s="68" t="str">
        <f>IF(OR('Services - NHC'!F99="",'Services - NHC'!F99="[Select]"),"",'Services - NHC'!F99)</f>
        <v/>
      </c>
      <c r="G100" s="26"/>
      <c r="H100" s="73"/>
      <c r="I100" s="73"/>
      <c r="J100" s="73"/>
      <c r="K100" s="73"/>
      <c r="L100" s="73"/>
      <c r="M100" s="73"/>
      <c r="N100" s="73"/>
      <c r="O100" s="73"/>
      <c r="P100" s="73"/>
      <c r="Q100" s="73"/>
      <c r="R100" s="425">
        <f t="shared" si="0"/>
        <v>0</v>
      </c>
      <c r="S100" s="31"/>
    </row>
    <row r="101" spans="3:19" ht="12" customHeight="1" x14ac:dyDescent="0.2">
      <c r="C101" s="13"/>
      <c r="D101" s="19">
        <f>'Revenue - NHC'!D102</f>
        <v>91</v>
      </c>
      <c r="E101" s="67" t="str">
        <f>IF(OR('Services - NHC'!E100="",'Services - NHC'!E100="[Enter service]"),"",'Services - NHC'!E100)</f>
        <v/>
      </c>
      <c r="F101" s="68" t="str">
        <f>IF(OR('Services - NHC'!F100="",'Services - NHC'!F100="[Select]"),"",'Services - NHC'!F100)</f>
        <v/>
      </c>
      <c r="G101" s="26"/>
      <c r="H101" s="73"/>
      <c r="I101" s="73"/>
      <c r="J101" s="73"/>
      <c r="K101" s="73"/>
      <c r="L101" s="73"/>
      <c r="M101" s="73"/>
      <c r="N101" s="73"/>
      <c r="O101" s="73"/>
      <c r="P101" s="73"/>
      <c r="Q101" s="73"/>
      <c r="R101" s="425">
        <f t="shared" si="0"/>
        <v>0</v>
      </c>
      <c r="S101" s="31"/>
    </row>
    <row r="102" spans="3:19" ht="12" customHeight="1" x14ac:dyDescent="0.2">
      <c r="C102" s="13"/>
      <c r="D102" s="19">
        <f>'Revenue - NHC'!D103</f>
        <v>92</v>
      </c>
      <c r="E102" s="67" t="str">
        <f>IF(OR('Services - NHC'!E101="",'Services - NHC'!E101="[Enter service]"),"",'Services - NHC'!E101)</f>
        <v/>
      </c>
      <c r="F102" s="68" t="str">
        <f>IF(OR('Services - NHC'!F101="",'Services - NHC'!F101="[Select]"),"",'Services - NHC'!F101)</f>
        <v/>
      </c>
      <c r="G102" s="26"/>
      <c r="H102" s="73"/>
      <c r="I102" s="73"/>
      <c r="J102" s="73"/>
      <c r="K102" s="73"/>
      <c r="L102" s="73"/>
      <c r="M102" s="73"/>
      <c r="N102" s="73"/>
      <c r="O102" s="73"/>
      <c r="P102" s="73"/>
      <c r="Q102" s="73"/>
      <c r="R102" s="425">
        <f t="shared" si="0"/>
        <v>0</v>
      </c>
      <c r="S102" s="31"/>
    </row>
    <row r="103" spans="3:19" ht="12" customHeight="1" x14ac:dyDescent="0.2">
      <c r="C103" s="13"/>
      <c r="D103" s="19">
        <f>'Revenue - NHC'!D104</f>
        <v>93</v>
      </c>
      <c r="E103" s="67" t="str">
        <f>IF(OR('Services - NHC'!E102="",'Services - NHC'!E102="[Enter service]"),"",'Services - NHC'!E102)</f>
        <v/>
      </c>
      <c r="F103" s="68" t="str">
        <f>IF(OR('Services - NHC'!F102="",'Services - NHC'!F102="[Select]"),"",'Services - NHC'!F102)</f>
        <v/>
      </c>
      <c r="G103" s="26"/>
      <c r="H103" s="73"/>
      <c r="I103" s="73"/>
      <c r="J103" s="73"/>
      <c r="K103" s="73"/>
      <c r="L103" s="73"/>
      <c r="M103" s="73"/>
      <c r="N103" s="73"/>
      <c r="O103" s="73"/>
      <c r="P103" s="73"/>
      <c r="Q103" s="73"/>
      <c r="R103" s="425">
        <f t="shared" si="0"/>
        <v>0</v>
      </c>
      <c r="S103" s="31"/>
    </row>
    <row r="104" spans="3:19" ht="12" customHeight="1" x14ac:dyDescent="0.2">
      <c r="C104" s="13"/>
      <c r="D104" s="19">
        <f>'Revenue - NHC'!D105</f>
        <v>94</v>
      </c>
      <c r="E104" s="67" t="str">
        <f>IF(OR('Services - NHC'!E103="",'Services - NHC'!E103="[Enter service]"),"",'Services - NHC'!E103)</f>
        <v/>
      </c>
      <c r="F104" s="68" t="str">
        <f>IF(OR('Services - NHC'!F103="",'Services - NHC'!F103="[Select]"),"",'Services - NHC'!F103)</f>
        <v/>
      </c>
      <c r="G104" s="26"/>
      <c r="H104" s="73"/>
      <c r="I104" s="73"/>
      <c r="J104" s="73"/>
      <c r="K104" s="73"/>
      <c r="L104" s="73"/>
      <c r="M104" s="73"/>
      <c r="N104" s="73"/>
      <c r="O104" s="73"/>
      <c r="P104" s="73"/>
      <c r="Q104" s="73"/>
      <c r="R104" s="425">
        <f t="shared" si="0"/>
        <v>0</v>
      </c>
      <c r="S104" s="31"/>
    </row>
    <row r="105" spans="3:19" ht="12" customHeight="1" x14ac:dyDescent="0.2">
      <c r="C105" s="13"/>
      <c r="D105" s="19">
        <f>'Revenue - NHC'!D106</f>
        <v>95</v>
      </c>
      <c r="E105" s="67" t="str">
        <f>IF(OR('Services - NHC'!E104="",'Services - NHC'!E104="[Enter service]"),"",'Services - NHC'!E104)</f>
        <v/>
      </c>
      <c r="F105" s="68" t="str">
        <f>IF(OR('Services - NHC'!F104="",'Services - NHC'!F104="[Select]"),"",'Services - NHC'!F104)</f>
        <v/>
      </c>
      <c r="G105" s="26"/>
      <c r="H105" s="73"/>
      <c r="I105" s="73"/>
      <c r="J105" s="73"/>
      <c r="K105" s="73"/>
      <c r="L105" s="73"/>
      <c r="M105" s="73"/>
      <c r="N105" s="73"/>
      <c r="O105" s="73"/>
      <c r="P105" s="73"/>
      <c r="Q105" s="73"/>
      <c r="R105" s="425">
        <f t="shared" si="0"/>
        <v>0</v>
      </c>
      <c r="S105" s="31"/>
    </row>
    <row r="106" spans="3:19" ht="12" customHeight="1" x14ac:dyDescent="0.2">
      <c r="C106" s="13"/>
      <c r="D106" s="19">
        <f>'Revenue - NHC'!D107</f>
        <v>96</v>
      </c>
      <c r="E106" s="67" t="str">
        <f>IF(OR('Services - NHC'!E105="",'Services - NHC'!E105="[Enter service]"),"",'Services - NHC'!E105)</f>
        <v/>
      </c>
      <c r="F106" s="68" t="str">
        <f>IF(OR('Services - NHC'!F105="",'Services - NHC'!F105="[Select]"),"",'Services - NHC'!F105)</f>
        <v/>
      </c>
      <c r="G106" s="26"/>
      <c r="H106" s="73"/>
      <c r="I106" s="73"/>
      <c r="J106" s="73"/>
      <c r="K106" s="73"/>
      <c r="L106" s="73"/>
      <c r="M106" s="73"/>
      <c r="N106" s="73"/>
      <c r="O106" s="73"/>
      <c r="P106" s="73"/>
      <c r="Q106" s="73"/>
      <c r="R106" s="425">
        <f t="shared" si="0"/>
        <v>0</v>
      </c>
      <c r="S106" s="31"/>
    </row>
    <row r="107" spans="3:19" ht="12" customHeight="1" x14ac:dyDescent="0.2">
      <c r="C107" s="13"/>
      <c r="D107" s="19">
        <f>'Revenue - NHC'!D108</f>
        <v>97</v>
      </c>
      <c r="E107" s="67" t="str">
        <f>IF(OR('Services - NHC'!E106="",'Services - NHC'!E106="[Enter service]"),"",'Services - NHC'!E106)</f>
        <v/>
      </c>
      <c r="F107" s="68" t="str">
        <f>IF(OR('Services - NHC'!F106="",'Services - NHC'!F106="[Select]"),"",'Services - NHC'!F106)</f>
        <v/>
      </c>
      <c r="G107" s="26"/>
      <c r="H107" s="73"/>
      <c r="I107" s="73"/>
      <c r="J107" s="73"/>
      <c r="K107" s="73"/>
      <c r="L107" s="73"/>
      <c r="M107" s="73"/>
      <c r="N107" s="73"/>
      <c r="O107" s="73"/>
      <c r="P107" s="73"/>
      <c r="Q107" s="73"/>
      <c r="R107" s="425">
        <f t="shared" si="0"/>
        <v>0</v>
      </c>
      <c r="S107" s="31"/>
    </row>
    <row r="108" spans="3:19" ht="12" customHeight="1" x14ac:dyDescent="0.2">
      <c r="C108" s="13"/>
      <c r="D108" s="19">
        <f>'Revenue - NHC'!D109</f>
        <v>98</v>
      </c>
      <c r="E108" s="67" t="str">
        <f>IF(OR('Services - NHC'!E107="",'Services - NHC'!E107="[Enter service]"),"",'Services - NHC'!E107)</f>
        <v/>
      </c>
      <c r="F108" s="68" t="str">
        <f>IF(OR('Services - NHC'!F107="",'Services - NHC'!F107="[Select]"),"",'Services - NHC'!F107)</f>
        <v/>
      </c>
      <c r="G108" s="26"/>
      <c r="H108" s="73"/>
      <c r="I108" s="73"/>
      <c r="J108" s="73"/>
      <c r="K108" s="73"/>
      <c r="L108" s="73"/>
      <c r="M108" s="73"/>
      <c r="N108" s="73"/>
      <c r="O108" s="73"/>
      <c r="P108" s="73"/>
      <c r="Q108" s="73"/>
      <c r="R108" s="425">
        <f t="shared" si="0"/>
        <v>0</v>
      </c>
      <c r="S108" s="31"/>
    </row>
    <row r="109" spans="3:19" ht="12" customHeight="1" x14ac:dyDescent="0.2">
      <c r="C109" s="13"/>
      <c r="D109" s="19">
        <f>'Revenue - NHC'!D110</f>
        <v>99</v>
      </c>
      <c r="E109" s="67" t="str">
        <f>IF(OR('Services - NHC'!E108="",'Services - NHC'!E108="[Enter service]"),"",'Services - NHC'!E108)</f>
        <v/>
      </c>
      <c r="F109" s="68" t="str">
        <f>IF(OR('Services - NHC'!F108="",'Services - NHC'!F108="[Select]"),"",'Services - NHC'!F108)</f>
        <v/>
      </c>
      <c r="G109" s="26"/>
      <c r="H109" s="73"/>
      <c r="I109" s="73"/>
      <c r="J109" s="73"/>
      <c r="K109" s="73"/>
      <c r="L109" s="73"/>
      <c r="M109" s="73"/>
      <c r="N109" s="73"/>
      <c r="O109" s="73"/>
      <c r="P109" s="73"/>
      <c r="Q109" s="73"/>
      <c r="R109" s="425">
        <f t="shared" si="0"/>
        <v>0</v>
      </c>
      <c r="S109" s="31"/>
    </row>
    <row r="110" spans="3:19" ht="12" customHeight="1" x14ac:dyDescent="0.2">
      <c r="C110" s="13"/>
      <c r="D110" s="19">
        <f>'Revenue - NHC'!D111</f>
        <v>100</v>
      </c>
      <c r="E110" s="67" t="str">
        <f>IF(OR('Services - NHC'!E109="",'Services - NHC'!E109="[Enter service]"),"",'Services - NHC'!E109)</f>
        <v/>
      </c>
      <c r="F110" s="68" t="str">
        <f>IF(OR('Services - NHC'!F109="",'Services - NHC'!F109="[Select]"),"",'Services - NHC'!F109)</f>
        <v/>
      </c>
      <c r="G110" s="26"/>
      <c r="H110" s="73"/>
      <c r="I110" s="73"/>
      <c r="J110" s="73"/>
      <c r="K110" s="73"/>
      <c r="L110" s="73"/>
      <c r="M110" s="73"/>
      <c r="N110" s="73"/>
      <c r="O110" s="73"/>
      <c r="P110" s="73"/>
      <c r="Q110" s="73"/>
      <c r="R110" s="425">
        <f t="shared" si="0"/>
        <v>0</v>
      </c>
      <c r="S110" s="31"/>
    </row>
    <row r="111" spans="3:19" ht="12" customHeight="1" x14ac:dyDescent="0.2">
      <c r="C111" s="13"/>
      <c r="D111" s="19">
        <f>'Revenue - NHC'!D112</f>
        <v>101</v>
      </c>
      <c r="E111" s="67" t="str">
        <f>IF(OR('Services - NHC'!E110="",'Services - NHC'!E110="[Enter service]"),"",'Services - NHC'!E110)</f>
        <v/>
      </c>
      <c r="F111" s="68" t="str">
        <f>IF(OR('Services - NHC'!F110="",'Services - NHC'!F110="[Select]"),"",'Services - NHC'!F110)</f>
        <v/>
      </c>
      <c r="G111" s="26"/>
      <c r="H111" s="73"/>
      <c r="I111" s="73"/>
      <c r="J111" s="73"/>
      <c r="K111" s="73"/>
      <c r="L111" s="73"/>
      <c r="M111" s="73"/>
      <c r="N111" s="73"/>
      <c r="O111" s="73"/>
      <c r="P111" s="73"/>
      <c r="Q111" s="73"/>
      <c r="R111" s="425">
        <f t="shared" si="0"/>
        <v>0</v>
      </c>
      <c r="S111" s="31"/>
    </row>
    <row r="112" spans="3:19" ht="12" customHeight="1" x14ac:dyDescent="0.2">
      <c r="C112" s="13"/>
      <c r="D112" s="19">
        <f>'Revenue - NHC'!D113</f>
        <v>102</v>
      </c>
      <c r="E112" s="67" t="str">
        <f>IF(OR('Services - NHC'!E111="",'Services - NHC'!E111="[Enter service]"),"",'Services - NHC'!E111)</f>
        <v/>
      </c>
      <c r="F112" s="68" t="str">
        <f>IF(OR('Services - NHC'!F111="",'Services - NHC'!F111="[Select]"),"",'Services - NHC'!F111)</f>
        <v/>
      </c>
      <c r="G112" s="26"/>
      <c r="H112" s="73"/>
      <c r="I112" s="73"/>
      <c r="J112" s="73"/>
      <c r="K112" s="73"/>
      <c r="L112" s="73"/>
      <c r="M112" s="73"/>
      <c r="N112" s="73"/>
      <c r="O112" s="73"/>
      <c r="P112" s="73"/>
      <c r="Q112" s="73"/>
      <c r="R112" s="425">
        <f t="shared" si="0"/>
        <v>0</v>
      </c>
      <c r="S112" s="31"/>
    </row>
    <row r="113" spans="3:19" ht="12" customHeight="1" x14ac:dyDescent="0.2">
      <c r="C113" s="13"/>
      <c r="D113" s="19">
        <f>'Revenue - NHC'!D114</f>
        <v>103</v>
      </c>
      <c r="E113" s="67" t="str">
        <f>IF(OR('Services - NHC'!E112="",'Services - NHC'!E112="[Enter service]"),"",'Services - NHC'!E112)</f>
        <v/>
      </c>
      <c r="F113" s="68" t="str">
        <f>IF(OR('Services - NHC'!F112="",'Services - NHC'!F112="[Select]"),"",'Services - NHC'!F112)</f>
        <v/>
      </c>
      <c r="G113" s="26"/>
      <c r="H113" s="73"/>
      <c r="I113" s="73"/>
      <c r="J113" s="73"/>
      <c r="K113" s="73"/>
      <c r="L113" s="73"/>
      <c r="M113" s="73"/>
      <c r="N113" s="73"/>
      <c r="O113" s="73"/>
      <c r="P113" s="73"/>
      <c r="Q113" s="73"/>
      <c r="R113" s="425">
        <f t="shared" si="0"/>
        <v>0</v>
      </c>
      <c r="S113" s="31"/>
    </row>
    <row r="114" spans="3:19" ht="12" customHeight="1" x14ac:dyDescent="0.2">
      <c r="C114" s="13"/>
      <c r="D114" s="19">
        <f>'Revenue - NHC'!D115</f>
        <v>104</v>
      </c>
      <c r="E114" s="67" t="str">
        <f>IF(OR('Services - NHC'!E113="",'Services - NHC'!E113="[Enter service]"),"",'Services - NHC'!E113)</f>
        <v/>
      </c>
      <c r="F114" s="68" t="str">
        <f>IF(OR('Services - NHC'!F113="",'Services - NHC'!F113="[Select]"),"",'Services - NHC'!F113)</f>
        <v/>
      </c>
      <c r="G114" s="26"/>
      <c r="H114" s="73"/>
      <c r="I114" s="73"/>
      <c r="J114" s="73"/>
      <c r="K114" s="73"/>
      <c r="L114" s="73"/>
      <c r="M114" s="73"/>
      <c r="N114" s="73"/>
      <c r="O114" s="73"/>
      <c r="P114" s="73"/>
      <c r="Q114" s="73"/>
      <c r="R114" s="425">
        <f t="shared" si="0"/>
        <v>0</v>
      </c>
      <c r="S114" s="31"/>
    </row>
    <row r="115" spans="3:19" ht="12" customHeight="1" x14ac:dyDescent="0.2">
      <c r="C115" s="13"/>
      <c r="D115" s="19">
        <f>'Revenue - NHC'!D116</f>
        <v>105</v>
      </c>
      <c r="E115" s="67" t="str">
        <f>IF(OR('Services - NHC'!E114="",'Services - NHC'!E114="[Enter service]"),"",'Services - NHC'!E114)</f>
        <v/>
      </c>
      <c r="F115" s="68" t="str">
        <f>IF(OR('Services - NHC'!F114="",'Services - NHC'!F114="[Select]"),"",'Services - NHC'!F114)</f>
        <v/>
      </c>
      <c r="G115" s="26"/>
      <c r="H115" s="73"/>
      <c r="I115" s="73"/>
      <c r="J115" s="73"/>
      <c r="K115" s="73"/>
      <c r="L115" s="73"/>
      <c r="M115" s="73"/>
      <c r="N115" s="73"/>
      <c r="O115" s="73"/>
      <c r="P115" s="73"/>
      <c r="Q115" s="73"/>
      <c r="R115" s="425">
        <f t="shared" ref="R115:R151" si="1">SUM(H115:Q115)</f>
        <v>0</v>
      </c>
      <c r="S115" s="31"/>
    </row>
    <row r="116" spans="3:19" ht="12" customHeight="1" x14ac:dyDescent="0.2">
      <c r="C116" s="13"/>
      <c r="D116" s="19">
        <f>'Revenue - NHC'!D117</f>
        <v>106</v>
      </c>
      <c r="E116" s="67" t="str">
        <f>IF(OR('Services - NHC'!E115="",'Services - NHC'!E115="[Enter service]"),"",'Services - NHC'!E115)</f>
        <v/>
      </c>
      <c r="F116" s="68" t="str">
        <f>IF(OR('Services - NHC'!F115="",'Services - NHC'!F115="[Select]"),"",'Services - NHC'!F115)</f>
        <v/>
      </c>
      <c r="G116" s="26"/>
      <c r="H116" s="73"/>
      <c r="I116" s="73"/>
      <c r="J116" s="73"/>
      <c r="K116" s="73"/>
      <c r="L116" s="73"/>
      <c r="M116" s="73"/>
      <c r="N116" s="73"/>
      <c r="O116" s="73"/>
      <c r="P116" s="73"/>
      <c r="Q116" s="73"/>
      <c r="R116" s="425">
        <f t="shared" si="1"/>
        <v>0</v>
      </c>
      <c r="S116" s="31"/>
    </row>
    <row r="117" spans="3:19" ht="12" customHeight="1" x14ac:dyDescent="0.2">
      <c r="C117" s="13"/>
      <c r="D117" s="19">
        <f>'Revenue - NHC'!D118</f>
        <v>107</v>
      </c>
      <c r="E117" s="67" t="str">
        <f>IF(OR('Services - NHC'!E116="",'Services - NHC'!E116="[Enter service]"),"",'Services - NHC'!E116)</f>
        <v/>
      </c>
      <c r="F117" s="68" t="str">
        <f>IF(OR('Services - NHC'!F116="",'Services - NHC'!F116="[Select]"),"",'Services - NHC'!F116)</f>
        <v/>
      </c>
      <c r="G117" s="26"/>
      <c r="H117" s="73"/>
      <c r="I117" s="73"/>
      <c r="J117" s="73"/>
      <c r="K117" s="73"/>
      <c r="L117" s="73"/>
      <c r="M117" s="73"/>
      <c r="N117" s="73"/>
      <c r="O117" s="73"/>
      <c r="P117" s="73"/>
      <c r="Q117" s="73"/>
      <c r="R117" s="425">
        <f t="shared" si="1"/>
        <v>0</v>
      </c>
      <c r="S117" s="31"/>
    </row>
    <row r="118" spans="3:19" ht="12" customHeight="1" x14ac:dyDescent="0.2">
      <c r="C118" s="13"/>
      <c r="D118" s="19">
        <f>'Revenue - NHC'!D119</f>
        <v>108</v>
      </c>
      <c r="E118" s="67" t="str">
        <f>IF(OR('Services - NHC'!E117="",'Services - NHC'!E117="[Enter service]"),"",'Services - NHC'!E117)</f>
        <v/>
      </c>
      <c r="F118" s="68" t="str">
        <f>IF(OR('Services - NHC'!F117="",'Services - NHC'!F117="[Select]"),"",'Services - NHC'!F117)</f>
        <v/>
      </c>
      <c r="G118" s="26"/>
      <c r="H118" s="73"/>
      <c r="I118" s="73"/>
      <c r="J118" s="73"/>
      <c r="K118" s="73"/>
      <c r="L118" s="73"/>
      <c r="M118" s="73"/>
      <c r="N118" s="73"/>
      <c r="O118" s="73"/>
      <c r="P118" s="73"/>
      <c r="Q118" s="73"/>
      <c r="R118" s="425">
        <f t="shared" si="1"/>
        <v>0</v>
      </c>
      <c r="S118" s="31"/>
    </row>
    <row r="119" spans="3:19" ht="12" customHeight="1" x14ac:dyDescent="0.2">
      <c r="C119" s="13"/>
      <c r="D119" s="19">
        <f>'Revenue - NHC'!D120</f>
        <v>109</v>
      </c>
      <c r="E119" s="67" t="str">
        <f>IF(OR('Services - NHC'!E118="",'Services - NHC'!E118="[Enter service]"),"",'Services - NHC'!E118)</f>
        <v/>
      </c>
      <c r="F119" s="68" t="str">
        <f>IF(OR('Services - NHC'!F118="",'Services - NHC'!F118="[Select]"),"",'Services - NHC'!F118)</f>
        <v/>
      </c>
      <c r="G119" s="26"/>
      <c r="H119" s="73"/>
      <c r="I119" s="73"/>
      <c r="J119" s="73"/>
      <c r="K119" s="73"/>
      <c r="L119" s="73"/>
      <c r="M119" s="73"/>
      <c r="N119" s="73"/>
      <c r="O119" s="73"/>
      <c r="P119" s="73"/>
      <c r="Q119" s="73"/>
      <c r="R119" s="425">
        <f t="shared" si="1"/>
        <v>0</v>
      </c>
      <c r="S119" s="31"/>
    </row>
    <row r="120" spans="3:19" ht="12" customHeight="1" x14ac:dyDescent="0.2">
      <c r="C120" s="13"/>
      <c r="D120" s="19">
        <f>'Revenue - NHC'!D121</f>
        <v>110</v>
      </c>
      <c r="E120" s="67" t="str">
        <f>IF(OR('Services - NHC'!E119="",'Services - NHC'!E119="[Enter service]"),"",'Services - NHC'!E119)</f>
        <v/>
      </c>
      <c r="F120" s="68" t="str">
        <f>IF(OR('Services - NHC'!F119="",'Services - NHC'!F119="[Select]"),"",'Services - NHC'!F119)</f>
        <v/>
      </c>
      <c r="G120" s="26"/>
      <c r="H120" s="73"/>
      <c r="I120" s="73"/>
      <c r="J120" s="73"/>
      <c r="K120" s="73"/>
      <c r="L120" s="73"/>
      <c r="M120" s="73"/>
      <c r="N120" s="73"/>
      <c r="O120" s="73"/>
      <c r="P120" s="73"/>
      <c r="Q120" s="73"/>
      <c r="R120" s="425">
        <f t="shared" si="1"/>
        <v>0</v>
      </c>
      <c r="S120" s="31"/>
    </row>
    <row r="121" spans="3:19" ht="12" customHeight="1" x14ac:dyDescent="0.2">
      <c r="C121" s="13"/>
      <c r="D121" s="19">
        <f>'Revenue - NHC'!D122</f>
        <v>111</v>
      </c>
      <c r="E121" s="67" t="str">
        <f>IF(OR('Services - NHC'!E120="",'Services - NHC'!E120="[Enter service]"),"",'Services - NHC'!E120)</f>
        <v/>
      </c>
      <c r="F121" s="68" t="str">
        <f>IF(OR('Services - NHC'!F120="",'Services - NHC'!F120="[Select]"),"",'Services - NHC'!F120)</f>
        <v/>
      </c>
      <c r="G121" s="26"/>
      <c r="H121" s="73"/>
      <c r="I121" s="73"/>
      <c r="J121" s="73"/>
      <c r="K121" s="73"/>
      <c r="L121" s="73"/>
      <c r="M121" s="73"/>
      <c r="N121" s="73"/>
      <c r="O121" s="73"/>
      <c r="P121" s="73"/>
      <c r="Q121" s="73"/>
      <c r="R121" s="425">
        <f t="shared" si="1"/>
        <v>0</v>
      </c>
      <c r="S121" s="31"/>
    </row>
    <row r="122" spans="3:19" ht="12" customHeight="1" x14ac:dyDescent="0.2">
      <c r="C122" s="13"/>
      <c r="D122" s="19">
        <f>'Revenue - NHC'!D123</f>
        <v>112</v>
      </c>
      <c r="E122" s="67" t="str">
        <f>IF(OR('Services - NHC'!E121="",'Services - NHC'!E121="[Enter service]"),"",'Services - NHC'!E121)</f>
        <v/>
      </c>
      <c r="F122" s="68" t="str">
        <f>IF(OR('Services - NHC'!F121="",'Services - NHC'!F121="[Select]"),"",'Services - NHC'!F121)</f>
        <v/>
      </c>
      <c r="G122" s="26"/>
      <c r="H122" s="73"/>
      <c r="I122" s="73"/>
      <c r="J122" s="73"/>
      <c r="K122" s="73"/>
      <c r="L122" s="73"/>
      <c r="M122" s="73"/>
      <c r="N122" s="73"/>
      <c r="O122" s="73"/>
      <c r="P122" s="73"/>
      <c r="Q122" s="73"/>
      <c r="R122" s="425">
        <f t="shared" si="1"/>
        <v>0</v>
      </c>
      <c r="S122" s="31"/>
    </row>
    <row r="123" spans="3:19" ht="12" customHeight="1" x14ac:dyDescent="0.2">
      <c r="C123" s="13"/>
      <c r="D123" s="19">
        <f>'Revenue - NHC'!D124</f>
        <v>113</v>
      </c>
      <c r="E123" s="67" t="str">
        <f>IF(OR('Services - NHC'!E122="",'Services - NHC'!E122="[Enter service]"),"",'Services - NHC'!E122)</f>
        <v/>
      </c>
      <c r="F123" s="68" t="str">
        <f>IF(OR('Services - NHC'!F122="",'Services - NHC'!F122="[Select]"),"",'Services - NHC'!F122)</f>
        <v/>
      </c>
      <c r="G123" s="26"/>
      <c r="H123" s="73"/>
      <c r="I123" s="73"/>
      <c r="J123" s="73"/>
      <c r="K123" s="73"/>
      <c r="L123" s="73"/>
      <c r="M123" s="73"/>
      <c r="N123" s="73"/>
      <c r="O123" s="73"/>
      <c r="P123" s="73"/>
      <c r="Q123" s="73"/>
      <c r="R123" s="425">
        <f t="shared" si="1"/>
        <v>0</v>
      </c>
      <c r="S123" s="31"/>
    </row>
    <row r="124" spans="3:19" ht="12" customHeight="1" x14ac:dyDescent="0.2">
      <c r="C124" s="13"/>
      <c r="D124" s="19">
        <f>'Revenue - NHC'!D125</f>
        <v>114</v>
      </c>
      <c r="E124" s="67" t="str">
        <f>IF(OR('Services - NHC'!E123="",'Services - NHC'!E123="[Enter service]"),"",'Services - NHC'!E123)</f>
        <v/>
      </c>
      <c r="F124" s="68" t="str">
        <f>IF(OR('Services - NHC'!F123="",'Services - NHC'!F123="[Select]"),"",'Services - NHC'!F123)</f>
        <v/>
      </c>
      <c r="G124" s="26"/>
      <c r="H124" s="73"/>
      <c r="I124" s="73"/>
      <c r="J124" s="73"/>
      <c r="K124" s="73"/>
      <c r="L124" s="73"/>
      <c r="M124" s="73"/>
      <c r="N124" s="73"/>
      <c r="O124" s="73"/>
      <c r="P124" s="73"/>
      <c r="Q124" s="73"/>
      <c r="R124" s="425">
        <f t="shared" si="1"/>
        <v>0</v>
      </c>
      <c r="S124" s="31"/>
    </row>
    <row r="125" spans="3:19" ht="12" customHeight="1" x14ac:dyDescent="0.2">
      <c r="C125" s="13"/>
      <c r="D125" s="19">
        <f>'Revenue - NHC'!D126</f>
        <v>115</v>
      </c>
      <c r="E125" s="67" t="str">
        <f>IF(OR('Services - NHC'!E124="",'Services - NHC'!E124="[Enter service]"),"",'Services - NHC'!E124)</f>
        <v/>
      </c>
      <c r="F125" s="68" t="str">
        <f>IF(OR('Services - NHC'!F124="",'Services - NHC'!F124="[Select]"),"",'Services - NHC'!F124)</f>
        <v/>
      </c>
      <c r="G125" s="26"/>
      <c r="H125" s="73"/>
      <c r="I125" s="73"/>
      <c r="J125" s="73"/>
      <c r="K125" s="73"/>
      <c r="L125" s="73"/>
      <c r="M125" s="73"/>
      <c r="N125" s="73"/>
      <c r="O125" s="73"/>
      <c r="P125" s="73"/>
      <c r="Q125" s="73"/>
      <c r="R125" s="425">
        <f t="shared" si="1"/>
        <v>0</v>
      </c>
      <c r="S125" s="31"/>
    </row>
    <row r="126" spans="3:19" ht="12" customHeight="1" x14ac:dyDescent="0.2">
      <c r="C126" s="13"/>
      <c r="D126" s="19">
        <f>'Revenue - NHC'!D127</f>
        <v>116</v>
      </c>
      <c r="E126" s="67" t="str">
        <f>IF(OR('Services - NHC'!E125="",'Services - NHC'!E125="[Enter service]"),"",'Services - NHC'!E125)</f>
        <v/>
      </c>
      <c r="F126" s="68" t="str">
        <f>IF(OR('Services - NHC'!F125="",'Services - NHC'!F125="[Select]"),"",'Services - NHC'!F125)</f>
        <v/>
      </c>
      <c r="G126" s="26"/>
      <c r="H126" s="73"/>
      <c r="I126" s="73"/>
      <c r="J126" s="73"/>
      <c r="K126" s="73"/>
      <c r="L126" s="73"/>
      <c r="M126" s="73"/>
      <c r="N126" s="73"/>
      <c r="O126" s="73"/>
      <c r="P126" s="73"/>
      <c r="Q126" s="73"/>
      <c r="R126" s="425">
        <f t="shared" si="1"/>
        <v>0</v>
      </c>
      <c r="S126" s="31"/>
    </row>
    <row r="127" spans="3:19" ht="12" customHeight="1" x14ac:dyDescent="0.2">
      <c r="C127" s="13"/>
      <c r="D127" s="19">
        <f>'Revenue - NHC'!D128</f>
        <v>117</v>
      </c>
      <c r="E127" s="67" t="str">
        <f>IF(OR('Services - NHC'!E126="",'Services - NHC'!E126="[Enter service]"),"",'Services - NHC'!E126)</f>
        <v/>
      </c>
      <c r="F127" s="68" t="str">
        <f>IF(OR('Services - NHC'!F126="",'Services - NHC'!F126="[Select]"),"",'Services - NHC'!F126)</f>
        <v/>
      </c>
      <c r="G127" s="26"/>
      <c r="H127" s="73"/>
      <c r="I127" s="73"/>
      <c r="J127" s="73"/>
      <c r="K127" s="73"/>
      <c r="L127" s="73"/>
      <c r="M127" s="73"/>
      <c r="N127" s="73"/>
      <c r="O127" s="73"/>
      <c r="P127" s="73"/>
      <c r="Q127" s="73"/>
      <c r="R127" s="425">
        <f t="shared" si="1"/>
        <v>0</v>
      </c>
      <c r="S127" s="31"/>
    </row>
    <row r="128" spans="3:19" ht="12" customHeight="1" x14ac:dyDescent="0.2">
      <c r="C128" s="13"/>
      <c r="D128" s="19">
        <f>'Revenue - NHC'!D129</f>
        <v>118</v>
      </c>
      <c r="E128" s="67" t="str">
        <f>IF(OR('Services - NHC'!E127="",'Services - NHC'!E127="[Enter service]"),"",'Services - NHC'!E127)</f>
        <v/>
      </c>
      <c r="F128" s="68" t="str">
        <f>IF(OR('Services - NHC'!F127="",'Services - NHC'!F127="[Select]"),"",'Services - NHC'!F127)</f>
        <v/>
      </c>
      <c r="G128" s="26"/>
      <c r="H128" s="73"/>
      <c r="I128" s="73"/>
      <c r="J128" s="73"/>
      <c r="K128" s="73"/>
      <c r="L128" s="73"/>
      <c r="M128" s="73"/>
      <c r="N128" s="73"/>
      <c r="O128" s="73"/>
      <c r="P128" s="73"/>
      <c r="Q128" s="73"/>
      <c r="R128" s="425">
        <f t="shared" si="1"/>
        <v>0</v>
      </c>
      <c r="S128" s="31"/>
    </row>
    <row r="129" spans="3:19" ht="12" customHeight="1" x14ac:dyDescent="0.2">
      <c r="C129" s="13"/>
      <c r="D129" s="19">
        <f>'Revenue - NHC'!D130</f>
        <v>119</v>
      </c>
      <c r="E129" s="67" t="str">
        <f>IF(OR('Services - NHC'!E128="",'Services - NHC'!E128="[Enter service]"),"",'Services - NHC'!E128)</f>
        <v/>
      </c>
      <c r="F129" s="68" t="str">
        <f>IF(OR('Services - NHC'!F128="",'Services - NHC'!F128="[Select]"),"",'Services - NHC'!F128)</f>
        <v/>
      </c>
      <c r="G129" s="26"/>
      <c r="H129" s="73"/>
      <c r="I129" s="73"/>
      <c r="J129" s="73"/>
      <c r="K129" s="73"/>
      <c r="L129" s="73"/>
      <c r="M129" s="73"/>
      <c r="N129" s="73"/>
      <c r="O129" s="73"/>
      <c r="P129" s="73"/>
      <c r="Q129" s="73"/>
      <c r="R129" s="425">
        <f t="shared" si="1"/>
        <v>0</v>
      </c>
      <c r="S129" s="31"/>
    </row>
    <row r="130" spans="3:19" ht="12" customHeight="1" x14ac:dyDescent="0.2">
      <c r="C130" s="13"/>
      <c r="D130" s="19">
        <f>'Revenue - NHC'!D131</f>
        <v>120</v>
      </c>
      <c r="E130" s="67" t="str">
        <f>IF(OR('Services - NHC'!E129="",'Services - NHC'!E129="[Enter service]"),"",'Services - NHC'!E129)</f>
        <v/>
      </c>
      <c r="F130" s="68" t="str">
        <f>IF(OR('Services - NHC'!F129="",'Services - NHC'!F129="[Select]"),"",'Services - NHC'!F129)</f>
        <v/>
      </c>
      <c r="G130" s="26"/>
      <c r="H130" s="73"/>
      <c r="I130" s="73"/>
      <c r="J130" s="73"/>
      <c r="K130" s="73"/>
      <c r="L130" s="73"/>
      <c r="M130" s="73"/>
      <c r="N130" s="73"/>
      <c r="O130" s="73"/>
      <c r="P130" s="73"/>
      <c r="Q130" s="73"/>
      <c r="R130" s="425">
        <f t="shared" si="1"/>
        <v>0</v>
      </c>
      <c r="S130" s="31"/>
    </row>
    <row r="131" spans="3:19" ht="12" customHeight="1" x14ac:dyDescent="0.2">
      <c r="C131" s="13"/>
      <c r="D131" s="19">
        <f>'Revenue - NHC'!D132</f>
        <v>121</v>
      </c>
      <c r="E131" s="67" t="str">
        <f>IF(OR('Services - NHC'!E130="",'Services - NHC'!E130="[Enter service]"),"",'Services - NHC'!E130)</f>
        <v/>
      </c>
      <c r="F131" s="68" t="str">
        <f>IF(OR('Services - NHC'!F130="",'Services - NHC'!F130="[Select]"),"",'Services - NHC'!F130)</f>
        <v/>
      </c>
      <c r="G131" s="26"/>
      <c r="H131" s="73"/>
      <c r="I131" s="73"/>
      <c r="J131" s="73"/>
      <c r="K131" s="73"/>
      <c r="L131" s="73"/>
      <c r="M131" s="73"/>
      <c r="N131" s="73"/>
      <c r="O131" s="73"/>
      <c r="P131" s="73"/>
      <c r="Q131" s="73"/>
      <c r="R131" s="425">
        <f t="shared" si="1"/>
        <v>0</v>
      </c>
      <c r="S131" s="31"/>
    </row>
    <row r="132" spans="3:19" ht="12" customHeight="1" x14ac:dyDescent="0.2">
      <c r="C132" s="13"/>
      <c r="D132" s="19">
        <f>'Revenue - NHC'!D133</f>
        <v>122</v>
      </c>
      <c r="E132" s="67" t="str">
        <f>IF(OR('Services - NHC'!E131="",'Services - NHC'!E131="[Enter service]"),"",'Services - NHC'!E131)</f>
        <v/>
      </c>
      <c r="F132" s="68" t="str">
        <f>IF(OR('Services - NHC'!F131="",'Services - NHC'!F131="[Select]"),"",'Services - NHC'!F131)</f>
        <v/>
      </c>
      <c r="G132" s="26"/>
      <c r="H132" s="73"/>
      <c r="I132" s="73"/>
      <c r="J132" s="73"/>
      <c r="K132" s="73"/>
      <c r="L132" s="73"/>
      <c r="M132" s="73"/>
      <c r="N132" s="73"/>
      <c r="O132" s="73"/>
      <c r="P132" s="73"/>
      <c r="Q132" s="73"/>
      <c r="R132" s="425">
        <f t="shared" si="1"/>
        <v>0</v>
      </c>
      <c r="S132" s="31"/>
    </row>
    <row r="133" spans="3:19" ht="12" customHeight="1" x14ac:dyDescent="0.2">
      <c r="C133" s="13"/>
      <c r="D133" s="19">
        <f>'Revenue - NHC'!D134</f>
        <v>123</v>
      </c>
      <c r="E133" s="67" t="str">
        <f>IF(OR('Services - NHC'!E132="",'Services - NHC'!E132="[Enter service]"),"",'Services - NHC'!E132)</f>
        <v/>
      </c>
      <c r="F133" s="68" t="str">
        <f>IF(OR('Services - NHC'!F132="",'Services - NHC'!F132="[Select]"),"",'Services - NHC'!F132)</f>
        <v/>
      </c>
      <c r="G133" s="26"/>
      <c r="H133" s="73"/>
      <c r="I133" s="73"/>
      <c r="J133" s="73"/>
      <c r="K133" s="73"/>
      <c r="L133" s="73"/>
      <c r="M133" s="73"/>
      <c r="N133" s="73"/>
      <c r="O133" s="73"/>
      <c r="P133" s="73"/>
      <c r="Q133" s="73"/>
      <c r="R133" s="425">
        <f t="shared" si="1"/>
        <v>0</v>
      </c>
      <c r="S133" s="31"/>
    </row>
    <row r="134" spans="3:19" ht="12" customHeight="1" x14ac:dyDescent="0.2">
      <c r="C134" s="13"/>
      <c r="D134" s="19">
        <f>'Revenue - NHC'!D135</f>
        <v>124</v>
      </c>
      <c r="E134" s="67" t="str">
        <f>IF(OR('Services - NHC'!E133="",'Services - NHC'!E133="[Enter service]"),"",'Services - NHC'!E133)</f>
        <v/>
      </c>
      <c r="F134" s="68" t="str">
        <f>IF(OR('Services - NHC'!F133="",'Services - NHC'!F133="[Select]"),"",'Services - NHC'!F133)</f>
        <v/>
      </c>
      <c r="G134" s="26"/>
      <c r="H134" s="73"/>
      <c r="I134" s="73"/>
      <c r="J134" s="73"/>
      <c r="K134" s="73"/>
      <c r="L134" s="73"/>
      <c r="M134" s="73"/>
      <c r="N134" s="73"/>
      <c r="O134" s="73"/>
      <c r="P134" s="73"/>
      <c r="Q134" s="73"/>
      <c r="R134" s="425">
        <f t="shared" si="1"/>
        <v>0</v>
      </c>
      <c r="S134" s="31"/>
    </row>
    <row r="135" spans="3:19" ht="12" customHeight="1" x14ac:dyDescent="0.2">
      <c r="C135" s="13"/>
      <c r="D135" s="19">
        <f>'Revenue - NHC'!D136</f>
        <v>125</v>
      </c>
      <c r="E135" s="67" t="str">
        <f>IF(OR('Services - NHC'!E134="",'Services - NHC'!E134="[Enter service]"),"",'Services - NHC'!E134)</f>
        <v/>
      </c>
      <c r="F135" s="68" t="str">
        <f>IF(OR('Services - NHC'!F134="",'Services - NHC'!F134="[Select]"),"",'Services - NHC'!F134)</f>
        <v/>
      </c>
      <c r="G135" s="26"/>
      <c r="H135" s="73"/>
      <c r="I135" s="73"/>
      <c r="J135" s="73"/>
      <c r="K135" s="73"/>
      <c r="L135" s="73"/>
      <c r="M135" s="73"/>
      <c r="N135" s="73"/>
      <c r="O135" s="73"/>
      <c r="P135" s="73"/>
      <c r="Q135" s="73"/>
      <c r="R135" s="425">
        <f t="shared" si="1"/>
        <v>0</v>
      </c>
      <c r="S135" s="31"/>
    </row>
    <row r="136" spans="3:19" ht="12" customHeight="1" x14ac:dyDescent="0.2">
      <c r="C136" s="13"/>
      <c r="D136" s="19">
        <f>'Revenue - NHC'!D137</f>
        <v>126</v>
      </c>
      <c r="E136" s="67" t="str">
        <f>IF(OR('Services - NHC'!E135="",'Services - NHC'!E135="[Enter service]"),"",'Services - NHC'!E135)</f>
        <v/>
      </c>
      <c r="F136" s="68" t="str">
        <f>IF(OR('Services - NHC'!F135="",'Services - NHC'!F135="[Select]"),"",'Services - NHC'!F135)</f>
        <v/>
      </c>
      <c r="G136" s="26"/>
      <c r="H136" s="73"/>
      <c r="I136" s="73"/>
      <c r="J136" s="73"/>
      <c r="K136" s="73"/>
      <c r="L136" s="73"/>
      <c r="M136" s="73"/>
      <c r="N136" s="73"/>
      <c r="O136" s="73"/>
      <c r="P136" s="73"/>
      <c r="Q136" s="73"/>
      <c r="R136" s="425">
        <f t="shared" si="1"/>
        <v>0</v>
      </c>
      <c r="S136" s="31"/>
    </row>
    <row r="137" spans="3:19" ht="12" customHeight="1" x14ac:dyDescent="0.2">
      <c r="C137" s="13"/>
      <c r="D137" s="19">
        <f>'Revenue - NHC'!D138</f>
        <v>127</v>
      </c>
      <c r="E137" s="67" t="str">
        <f>IF(OR('Services - NHC'!E136="",'Services - NHC'!E136="[Enter service]"),"",'Services - NHC'!E136)</f>
        <v/>
      </c>
      <c r="F137" s="68" t="str">
        <f>IF(OR('Services - NHC'!F136="",'Services - NHC'!F136="[Select]"),"",'Services - NHC'!F136)</f>
        <v/>
      </c>
      <c r="G137" s="26"/>
      <c r="H137" s="73"/>
      <c r="I137" s="73"/>
      <c r="J137" s="73"/>
      <c r="K137" s="73"/>
      <c r="L137" s="73"/>
      <c r="M137" s="73"/>
      <c r="N137" s="73"/>
      <c r="O137" s="73"/>
      <c r="P137" s="73"/>
      <c r="Q137" s="73"/>
      <c r="R137" s="425">
        <f t="shared" si="1"/>
        <v>0</v>
      </c>
      <c r="S137" s="31"/>
    </row>
    <row r="138" spans="3:19" ht="12" customHeight="1" x14ac:dyDescent="0.2">
      <c r="C138" s="13"/>
      <c r="D138" s="19">
        <f>'Revenue - NHC'!D139</f>
        <v>128</v>
      </c>
      <c r="E138" s="67" t="str">
        <f>IF(OR('Services - NHC'!E137="",'Services - NHC'!E137="[Enter service]"),"",'Services - NHC'!E137)</f>
        <v/>
      </c>
      <c r="F138" s="68" t="str">
        <f>IF(OR('Services - NHC'!F137="",'Services - NHC'!F137="[Select]"),"",'Services - NHC'!F137)</f>
        <v/>
      </c>
      <c r="G138" s="26"/>
      <c r="H138" s="73"/>
      <c r="I138" s="73"/>
      <c r="J138" s="73"/>
      <c r="K138" s="73"/>
      <c r="L138" s="73"/>
      <c r="M138" s="73"/>
      <c r="N138" s="73"/>
      <c r="O138" s="73"/>
      <c r="P138" s="73"/>
      <c r="Q138" s="73"/>
      <c r="R138" s="425">
        <f t="shared" si="1"/>
        <v>0</v>
      </c>
      <c r="S138" s="31"/>
    </row>
    <row r="139" spans="3:19" ht="12" customHeight="1" x14ac:dyDescent="0.2">
      <c r="C139" s="13"/>
      <c r="D139" s="19">
        <f>'Revenue - NHC'!D140</f>
        <v>129</v>
      </c>
      <c r="E139" s="67" t="str">
        <f>IF(OR('Services - NHC'!E138="",'Services - NHC'!E138="[Enter service]"),"",'Services - NHC'!E138)</f>
        <v/>
      </c>
      <c r="F139" s="68" t="str">
        <f>IF(OR('Services - NHC'!F138="",'Services - NHC'!F138="[Select]"),"",'Services - NHC'!F138)</f>
        <v/>
      </c>
      <c r="G139" s="26"/>
      <c r="H139" s="73"/>
      <c r="I139" s="73"/>
      <c r="J139" s="73"/>
      <c r="K139" s="73"/>
      <c r="L139" s="73"/>
      <c r="M139" s="73"/>
      <c r="N139" s="73"/>
      <c r="O139" s="73"/>
      <c r="P139" s="73"/>
      <c r="Q139" s="73"/>
      <c r="R139" s="425">
        <f t="shared" si="1"/>
        <v>0</v>
      </c>
      <c r="S139" s="31"/>
    </row>
    <row r="140" spans="3:19" ht="12" customHeight="1" x14ac:dyDescent="0.2">
      <c r="C140" s="13"/>
      <c r="D140" s="19">
        <f>'Revenue - NHC'!D141</f>
        <v>130</v>
      </c>
      <c r="E140" s="67" t="str">
        <f>IF(OR('Services - NHC'!E139="",'Services - NHC'!E139="[Enter service]"),"",'Services - NHC'!E139)</f>
        <v/>
      </c>
      <c r="F140" s="68" t="str">
        <f>IF(OR('Services - NHC'!F139="",'Services - NHC'!F139="[Select]"),"",'Services - NHC'!F139)</f>
        <v/>
      </c>
      <c r="G140" s="26"/>
      <c r="H140" s="73"/>
      <c r="I140" s="73"/>
      <c r="J140" s="73"/>
      <c r="K140" s="73"/>
      <c r="L140" s="73"/>
      <c r="M140" s="73"/>
      <c r="N140" s="73"/>
      <c r="O140" s="73"/>
      <c r="P140" s="73"/>
      <c r="Q140" s="73"/>
      <c r="R140" s="425">
        <f t="shared" si="1"/>
        <v>0</v>
      </c>
      <c r="S140" s="31"/>
    </row>
    <row r="141" spans="3:19" ht="12" customHeight="1" x14ac:dyDescent="0.2">
      <c r="C141" s="13"/>
      <c r="D141" s="19">
        <f>'Revenue - NHC'!D142</f>
        <v>131</v>
      </c>
      <c r="E141" s="67" t="str">
        <f>IF(OR('Services - NHC'!E140="",'Services - NHC'!E140="[Enter service]"),"",'Services - NHC'!E140)</f>
        <v/>
      </c>
      <c r="F141" s="68" t="str">
        <f>IF(OR('Services - NHC'!F140="",'Services - NHC'!F140="[Select]"),"",'Services - NHC'!F140)</f>
        <v/>
      </c>
      <c r="G141" s="26"/>
      <c r="H141" s="73"/>
      <c r="I141" s="73"/>
      <c r="J141" s="73"/>
      <c r="K141" s="73"/>
      <c r="L141" s="73"/>
      <c r="M141" s="73"/>
      <c r="N141" s="73"/>
      <c r="O141" s="73"/>
      <c r="P141" s="73"/>
      <c r="Q141" s="73"/>
      <c r="R141" s="425">
        <f t="shared" si="1"/>
        <v>0</v>
      </c>
      <c r="S141" s="31"/>
    </row>
    <row r="142" spans="3:19" ht="12" customHeight="1" x14ac:dyDescent="0.2">
      <c r="C142" s="13"/>
      <c r="D142" s="19">
        <f>'Revenue - NHC'!D143</f>
        <v>132</v>
      </c>
      <c r="E142" s="67" t="str">
        <f>IF(OR('Services - NHC'!E141="",'Services - NHC'!E141="[Enter service]"),"",'Services - NHC'!E141)</f>
        <v/>
      </c>
      <c r="F142" s="68" t="str">
        <f>IF(OR('Services - NHC'!F141="",'Services - NHC'!F141="[Select]"),"",'Services - NHC'!F141)</f>
        <v/>
      </c>
      <c r="G142" s="26"/>
      <c r="H142" s="73"/>
      <c r="I142" s="73"/>
      <c r="J142" s="73"/>
      <c r="K142" s="73"/>
      <c r="L142" s="73"/>
      <c r="M142" s="73"/>
      <c r="N142" s="73"/>
      <c r="O142" s="73"/>
      <c r="P142" s="73"/>
      <c r="Q142" s="73"/>
      <c r="R142" s="425">
        <f t="shared" si="1"/>
        <v>0</v>
      </c>
      <c r="S142" s="31"/>
    </row>
    <row r="143" spans="3:19" ht="12" customHeight="1" x14ac:dyDescent="0.2">
      <c r="C143" s="13"/>
      <c r="D143" s="19">
        <f>'Revenue - NHC'!D144</f>
        <v>133</v>
      </c>
      <c r="E143" s="67" t="str">
        <f>IF(OR('Services - NHC'!E142="",'Services - NHC'!E142="[Enter service]"),"",'Services - NHC'!E142)</f>
        <v/>
      </c>
      <c r="F143" s="68" t="str">
        <f>IF(OR('Services - NHC'!F142="",'Services - NHC'!F142="[Select]"),"",'Services - NHC'!F142)</f>
        <v/>
      </c>
      <c r="G143" s="26"/>
      <c r="H143" s="73"/>
      <c r="I143" s="73"/>
      <c r="J143" s="73"/>
      <c r="K143" s="73"/>
      <c r="L143" s="73"/>
      <c r="M143" s="73"/>
      <c r="N143" s="73"/>
      <c r="O143" s="73"/>
      <c r="P143" s="73"/>
      <c r="Q143" s="73"/>
      <c r="R143" s="425">
        <f t="shared" si="1"/>
        <v>0</v>
      </c>
      <c r="S143" s="31"/>
    </row>
    <row r="144" spans="3:19" ht="12" customHeight="1" x14ac:dyDescent="0.2">
      <c r="C144" s="13"/>
      <c r="D144" s="19">
        <f>'Revenue - NHC'!D145</f>
        <v>134</v>
      </c>
      <c r="E144" s="67" t="str">
        <f>IF(OR('Services - NHC'!E143="",'Services - NHC'!E143="[Enter service]"),"",'Services - NHC'!E143)</f>
        <v/>
      </c>
      <c r="F144" s="68" t="str">
        <f>IF(OR('Services - NHC'!F143="",'Services - NHC'!F143="[Select]"),"",'Services - NHC'!F143)</f>
        <v/>
      </c>
      <c r="G144" s="26"/>
      <c r="H144" s="73"/>
      <c r="I144" s="73"/>
      <c r="J144" s="73"/>
      <c r="K144" s="73"/>
      <c r="L144" s="73"/>
      <c r="M144" s="73"/>
      <c r="N144" s="73"/>
      <c r="O144" s="73"/>
      <c r="P144" s="73"/>
      <c r="Q144" s="73"/>
      <c r="R144" s="425">
        <f t="shared" si="1"/>
        <v>0</v>
      </c>
      <c r="S144" s="31"/>
    </row>
    <row r="145" spans="3:19" ht="12" customHeight="1" x14ac:dyDescent="0.2">
      <c r="C145" s="13"/>
      <c r="D145" s="19">
        <f>'Revenue - NHC'!D146</f>
        <v>135</v>
      </c>
      <c r="E145" s="67" t="str">
        <f>IF(OR('Services - NHC'!E144="",'Services - NHC'!E144="[Enter service]"),"",'Services - NHC'!E144)</f>
        <v/>
      </c>
      <c r="F145" s="68" t="str">
        <f>IF(OR('Services - NHC'!F144="",'Services - NHC'!F144="[Select]"),"",'Services - NHC'!F144)</f>
        <v/>
      </c>
      <c r="G145" s="26"/>
      <c r="H145" s="73"/>
      <c r="I145" s="73"/>
      <c r="J145" s="73"/>
      <c r="K145" s="73"/>
      <c r="L145" s="73"/>
      <c r="M145" s="73"/>
      <c r="N145" s="73"/>
      <c r="O145" s="73"/>
      <c r="P145" s="73"/>
      <c r="Q145" s="73"/>
      <c r="R145" s="425">
        <f t="shared" si="1"/>
        <v>0</v>
      </c>
      <c r="S145" s="31"/>
    </row>
    <row r="146" spans="3:19" ht="12" customHeight="1" x14ac:dyDescent="0.2">
      <c r="C146" s="13"/>
      <c r="D146" s="19">
        <f>'Revenue - NHC'!D147</f>
        <v>136</v>
      </c>
      <c r="E146" s="67" t="str">
        <f>IF(OR('Services - NHC'!E145="",'Services - NHC'!E145="[Enter service]"),"",'Services - NHC'!E145)</f>
        <v/>
      </c>
      <c r="F146" s="68" t="str">
        <f>IF(OR('Services - NHC'!F145="",'Services - NHC'!F145="[Select]"),"",'Services - NHC'!F145)</f>
        <v/>
      </c>
      <c r="G146" s="26"/>
      <c r="H146" s="73"/>
      <c r="I146" s="73"/>
      <c r="J146" s="73"/>
      <c r="K146" s="73"/>
      <c r="L146" s="73"/>
      <c r="M146" s="73"/>
      <c r="N146" s="73"/>
      <c r="O146" s="73"/>
      <c r="P146" s="73"/>
      <c r="Q146" s="73"/>
      <c r="R146" s="425">
        <f t="shared" si="1"/>
        <v>0</v>
      </c>
      <c r="S146" s="31"/>
    </row>
    <row r="147" spans="3:19" ht="12" customHeight="1" x14ac:dyDescent="0.2">
      <c r="C147" s="13"/>
      <c r="D147" s="19">
        <f>'Revenue - NHC'!D148</f>
        <v>137</v>
      </c>
      <c r="E147" s="67" t="str">
        <f>IF(OR('Services - NHC'!E146="",'Services - NHC'!E146="[Enter service]"),"",'Services - NHC'!E146)</f>
        <v/>
      </c>
      <c r="F147" s="68" t="str">
        <f>IF(OR('Services - NHC'!F146="",'Services - NHC'!F146="[Select]"),"",'Services - NHC'!F146)</f>
        <v/>
      </c>
      <c r="G147" s="26"/>
      <c r="H147" s="73"/>
      <c r="I147" s="73"/>
      <c r="J147" s="73"/>
      <c r="K147" s="73"/>
      <c r="L147" s="73"/>
      <c r="M147" s="73"/>
      <c r="N147" s="73"/>
      <c r="O147" s="73"/>
      <c r="P147" s="73"/>
      <c r="Q147" s="73"/>
      <c r="R147" s="425">
        <f t="shared" si="1"/>
        <v>0</v>
      </c>
      <c r="S147" s="31"/>
    </row>
    <row r="148" spans="3:19" ht="12" customHeight="1" x14ac:dyDescent="0.2">
      <c r="C148" s="13"/>
      <c r="D148" s="19">
        <f>'Revenue - NHC'!D149</f>
        <v>138</v>
      </c>
      <c r="E148" s="67" t="str">
        <f>IF(OR('Services - NHC'!E147="",'Services - NHC'!E147="[Enter service]"),"",'Services - NHC'!E147)</f>
        <v/>
      </c>
      <c r="F148" s="68" t="str">
        <f>IF(OR('Services - NHC'!F147="",'Services - NHC'!F147="[Select]"),"",'Services - NHC'!F147)</f>
        <v/>
      </c>
      <c r="G148" s="26"/>
      <c r="H148" s="73"/>
      <c r="I148" s="73"/>
      <c r="J148" s="73"/>
      <c r="K148" s="73"/>
      <c r="L148" s="73"/>
      <c r="M148" s="73"/>
      <c r="N148" s="73"/>
      <c r="O148" s="73"/>
      <c r="P148" s="73"/>
      <c r="Q148" s="73"/>
      <c r="R148" s="425">
        <f t="shared" si="1"/>
        <v>0</v>
      </c>
      <c r="S148" s="31"/>
    </row>
    <row r="149" spans="3:19" ht="12" customHeight="1" x14ac:dyDescent="0.2">
      <c r="C149" s="13"/>
      <c r="D149" s="19">
        <f>'Revenue - NHC'!D150</f>
        <v>139</v>
      </c>
      <c r="E149" s="67" t="str">
        <f>IF(OR('Services - NHC'!E148="",'Services - NHC'!E148="[Enter service]"),"",'Services - NHC'!E148)</f>
        <v/>
      </c>
      <c r="F149" s="68" t="str">
        <f>IF(OR('Services - NHC'!F148="",'Services - NHC'!F148="[Select]"),"",'Services - NHC'!F148)</f>
        <v/>
      </c>
      <c r="G149" s="26"/>
      <c r="H149" s="73"/>
      <c r="I149" s="73"/>
      <c r="J149" s="73"/>
      <c r="K149" s="73"/>
      <c r="L149" s="73"/>
      <c r="M149" s="73"/>
      <c r="N149" s="73"/>
      <c r="O149" s="73"/>
      <c r="P149" s="73"/>
      <c r="Q149" s="73"/>
      <c r="R149" s="425">
        <f t="shared" si="1"/>
        <v>0</v>
      </c>
      <c r="S149" s="31"/>
    </row>
    <row r="150" spans="3:19" ht="12" customHeight="1" x14ac:dyDescent="0.2">
      <c r="C150" s="13"/>
      <c r="D150" s="19">
        <f>'Revenue - NHC'!D151</f>
        <v>140</v>
      </c>
      <c r="E150" s="67" t="str">
        <f>IF(OR('Services - NHC'!E149="",'Services - NHC'!E149="[Enter service]"),"",'Services - NHC'!E149)</f>
        <v/>
      </c>
      <c r="F150" s="68" t="str">
        <f>IF(OR('Services - NHC'!F149="",'Services - NHC'!F149="[Select]"),"",'Services - NHC'!F149)</f>
        <v/>
      </c>
      <c r="G150" s="26"/>
      <c r="H150" s="73"/>
      <c r="I150" s="73"/>
      <c r="J150" s="73"/>
      <c r="K150" s="73"/>
      <c r="L150" s="73"/>
      <c r="M150" s="73"/>
      <c r="N150" s="73"/>
      <c r="O150" s="73"/>
      <c r="P150" s="73"/>
      <c r="Q150" s="73"/>
      <c r="R150" s="425">
        <f t="shared" si="1"/>
        <v>0</v>
      </c>
      <c r="S150" s="31"/>
    </row>
    <row r="151" spans="3:19" ht="12" customHeight="1" collapsed="1" thickBot="1" x14ac:dyDescent="0.25">
      <c r="C151" s="13"/>
      <c r="D151" s="19"/>
      <c r="E151" s="75" t="s">
        <v>88</v>
      </c>
      <c r="F151" s="76"/>
      <c r="G151" s="26"/>
      <c r="H151" s="77"/>
      <c r="I151" s="77"/>
      <c r="J151" s="77"/>
      <c r="K151" s="77"/>
      <c r="L151" s="77"/>
      <c r="M151" s="77"/>
      <c r="N151" s="77"/>
      <c r="O151" s="77"/>
      <c r="P151" s="77"/>
      <c r="Q151" s="77"/>
      <c r="R151" s="425">
        <f t="shared" si="1"/>
        <v>0</v>
      </c>
      <c r="S151" s="31"/>
    </row>
    <row r="152" spans="3:19" ht="12" customHeight="1" thickTop="1" x14ac:dyDescent="0.2">
      <c r="C152" s="13"/>
      <c r="D152" s="14"/>
      <c r="E152" s="50" t="s">
        <v>87</v>
      </c>
      <c r="F152" s="51"/>
      <c r="G152" s="26"/>
      <c r="H152" s="426">
        <f>+SUM(H11:H151)</f>
        <v>4053800</v>
      </c>
      <c r="I152" s="426">
        <f t="shared" ref="I152:Q152" si="2">+SUM(I11:I151)</f>
        <v>5413720.3427499998</v>
      </c>
      <c r="J152" s="426">
        <f>+SUM(J11:J151)</f>
        <v>3000</v>
      </c>
      <c r="K152" s="426">
        <f>+SUM(K11:K151)</f>
        <v>1196599.2408</v>
      </c>
      <c r="L152" s="426">
        <f t="shared" si="2"/>
        <v>0</v>
      </c>
      <c r="M152" s="426">
        <f t="shared" si="2"/>
        <v>11300</v>
      </c>
      <c r="N152" s="426">
        <f t="shared" si="2"/>
        <v>233123</v>
      </c>
      <c r="O152" s="426">
        <f t="shared" si="2"/>
        <v>0</v>
      </c>
      <c r="P152" s="426">
        <f t="shared" si="2"/>
        <v>0</v>
      </c>
      <c r="Q152" s="426">
        <f t="shared" si="2"/>
        <v>0</v>
      </c>
      <c r="R152" s="427">
        <f>SUM(H152:Q152)</f>
        <v>10911542.583550001</v>
      </c>
      <c r="S152" s="31"/>
    </row>
    <row r="153" spans="3:19" ht="12.6" customHeight="1" thickBot="1" x14ac:dyDescent="0.25">
      <c r="C153" s="32"/>
      <c r="D153" s="33"/>
      <c r="E153" s="34"/>
      <c r="F153" s="35"/>
      <c r="G153" s="120"/>
      <c r="H153" s="33"/>
      <c r="I153" s="234"/>
      <c r="J153" s="234"/>
      <c r="K153" s="234"/>
      <c r="L153" s="234"/>
      <c r="M153" s="234"/>
      <c r="N153" s="234"/>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319"/>
      <c r="D157" s="320"/>
      <c r="E157" s="320"/>
      <c r="F157" s="297"/>
      <c r="G157" s="297"/>
      <c r="H157" s="298"/>
      <c r="I157" s="14"/>
      <c r="J157" s="14"/>
      <c r="K157" s="14"/>
      <c r="L157" s="14"/>
      <c r="M157" s="14"/>
      <c r="N157" s="14"/>
    </row>
    <row r="158" spans="3:19" x14ac:dyDescent="0.2">
      <c r="C158" s="13"/>
      <c r="D158" s="14"/>
      <c r="E158" s="25" t="s">
        <v>214</v>
      </c>
      <c r="F158" s="15"/>
      <c r="G158" s="15"/>
      <c r="H158" s="31"/>
      <c r="I158" s="14"/>
      <c r="J158" s="14"/>
      <c r="K158" s="14"/>
      <c r="L158" s="14"/>
      <c r="M158" s="14"/>
      <c r="N158" s="14"/>
    </row>
    <row r="159" spans="3:19" x14ac:dyDescent="0.2">
      <c r="C159" s="13"/>
      <c r="D159" s="14"/>
      <c r="E159" s="6" t="s">
        <v>217</v>
      </c>
      <c r="F159" s="15" t="s">
        <v>209</v>
      </c>
      <c r="G159" s="15"/>
      <c r="H159" s="31"/>
      <c r="I159" s="14"/>
      <c r="J159" s="14"/>
      <c r="K159" s="14"/>
      <c r="L159" s="14"/>
      <c r="M159" s="14"/>
      <c r="N159" s="14"/>
    </row>
    <row r="160" spans="3:19" x14ac:dyDescent="0.2">
      <c r="C160" s="13"/>
      <c r="D160" s="14"/>
      <c r="E160" s="302" t="s">
        <v>211</v>
      </c>
      <c r="F160" s="303"/>
      <c r="G160" s="304"/>
      <c r="H160" s="31"/>
      <c r="I160" s="14"/>
      <c r="J160" s="14"/>
      <c r="K160" s="14"/>
      <c r="L160" s="14"/>
      <c r="M160" s="14"/>
      <c r="N160" s="14"/>
    </row>
    <row r="161" spans="3:14" x14ac:dyDescent="0.2">
      <c r="C161" s="13"/>
      <c r="D161" s="14"/>
      <c r="E161" s="302" t="s">
        <v>211</v>
      </c>
      <c r="F161" s="303"/>
      <c r="G161" s="304"/>
      <c r="H161" s="31"/>
      <c r="I161" s="14"/>
      <c r="J161" s="14"/>
      <c r="K161" s="14"/>
      <c r="L161" s="14"/>
      <c r="M161" s="14"/>
      <c r="N161" s="14"/>
    </row>
    <row r="162" spans="3:14" x14ac:dyDescent="0.2">
      <c r="C162" s="13"/>
      <c r="D162" s="14"/>
      <c r="E162" s="302" t="s">
        <v>211</v>
      </c>
      <c r="F162" s="303"/>
      <c r="G162" s="304"/>
      <c r="H162" s="31"/>
      <c r="I162" s="14"/>
      <c r="J162" s="14"/>
      <c r="K162" s="14"/>
      <c r="L162" s="14"/>
      <c r="M162" s="14"/>
      <c r="N162" s="14"/>
    </row>
    <row r="163" spans="3:14" x14ac:dyDescent="0.2">
      <c r="C163" s="13"/>
      <c r="D163" s="14"/>
      <c r="E163" s="302" t="s">
        <v>211</v>
      </c>
      <c r="F163" s="303"/>
      <c r="G163" s="304"/>
      <c r="H163" s="31"/>
      <c r="I163" s="14"/>
      <c r="J163" s="14"/>
      <c r="K163" s="14"/>
      <c r="L163" s="14"/>
      <c r="M163" s="14"/>
      <c r="N163" s="14"/>
    </row>
    <row r="164" spans="3:14" x14ac:dyDescent="0.2">
      <c r="C164" s="13"/>
      <c r="D164" s="14"/>
      <c r="E164" s="302" t="s">
        <v>211</v>
      </c>
      <c r="F164" s="303"/>
      <c r="G164" s="304"/>
      <c r="H164" s="31"/>
      <c r="I164" s="14"/>
      <c r="J164" s="14"/>
      <c r="K164" s="14"/>
      <c r="L164" s="14"/>
      <c r="M164" s="14"/>
      <c r="N164" s="14"/>
    </row>
    <row r="165" spans="3:14" x14ac:dyDescent="0.2">
      <c r="C165" s="13"/>
      <c r="D165" s="14"/>
      <c r="E165" s="302" t="s">
        <v>211</v>
      </c>
      <c r="F165" s="303"/>
      <c r="G165" s="304"/>
      <c r="H165" s="31"/>
      <c r="I165" s="14"/>
      <c r="J165" s="14"/>
      <c r="K165" s="14"/>
      <c r="L165" s="14"/>
      <c r="M165" s="14"/>
      <c r="N165" s="14"/>
    </row>
    <row r="166" spans="3:14" x14ac:dyDescent="0.2">
      <c r="C166" s="13"/>
      <c r="D166" s="14"/>
      <c r="E166" s="302" t="s">
        <v>211</v>
      </c>
      <c r="F166" s="303"/>
      <c r="G166" s="304"/>
      <c r="H166" s="31"/>
      <c r="I166" s="14"/>
      <c r="J166" s="14"/>
      <c r="K166" s="14"/>
      <c r="L166" s="14"/>
      <c r="M166" s="14"/>
      <c r="N166" s="14"/>
    </row>
    <row r="167" spans="3:14" x14ac:dyDescent="0.2">
      <c r="C167" s="13"/>
      <c r="D167" s="14"/>
      <c r="E167" s="302" t="s">
        <v>211</v>
      </c>
      <c r="F167" s="303"/>
      <c r="G167" s="304"/>
      <c r="H167" s="31"/>
      <c r="I167" s="14"/>
      <c r="J167" s="14"/>
      <c r="K167" s="14"/>
      <c r="L167" s="14"/>
      <c r="M167" s="14"/>
      <c r="N167" s="14"/>
    </row>
    <row r="168" spans="3:14" x14ac:dyDescent="0.2">
      <c r="C168" s="13"/>
      <c r="D168" s="14"/>
      <c r="E168" s="302" t="s">
        <v>211</v>
      </c>
      <c r="F168" s="303"/>
      <c r="G168" s="304"/>
      <c r="H168" s="31"/>
      <c r="I168" s="14"/>
      <c r="J168" s="14"/>
      <c r="K168" s="14"/>
      <c r="L168" s="14"/>
      <c r="M168" s="14"/>
      <c r="N168" s="14"/>
    </row>
    <row r="169" spans="3:14" x14ac:dyDescent="0.2">
      <c r="C169" s="13"/>
      <c r="D169" s="14"/>
      <c r="E169" s="302" t="s">
        <v>211</v>
      </c>
      <c r="F169" s="303"/>
      <c r="G169" s="304"/>
      <c r="H169" s="31"/>
      <c r="I169" s="14"/>
      <c r="J169" s="14"/>
      <c r="K169" s="14"/>
      <c r="L169" s="14"/>
      <c r="M169" s="14"/>
      <c r="N169" s="14"/>
    </row>
    <row r="170" spans="3:14" x14ac:dyDescent="0.2">
      <c r="C170" s="13"/>
      <c r="D170" s="14"/>
      <c r="E170" s="302" t="s">
        <v>211</v>
      </c>
      <c r="F170" s="303"/>
      <c r="G170" s="304"/>
      <c r="H170" s="31"/>
      <c r="I170" s="14"/>
      <c r="J170" s="14"/>
      <c r="K170" s="14"/>
      <c r="L170" s="14"/>
      <c r="M170" s="14"/>
      <c r="N170" s="14"/>
    </row>
    <row r="171" spans="3:14" x14ac:dyDescent="0.2">
      <c r="C171" s="13"/>
      <c r="D171" s="14"/>
      <c r="E171" s="302" t="s">
        <v>211</v>
      </c>
      <c r="F171" s="303"/>
      <c r="G171" s="304"/>
      <c r="H171" s="31"/>
      <c r="I171" s="14"/>
      <c r="J171" s="14"/>
      <c r="K171" s="14"/>
      <c r="L171" s="14"/>
      <c r="M171" s="14"/>
      <c r="N171" s="14"/>
    </row>
    <row r="172" spans="3:14" x14ac:dyDescent="0.2">
      <c r="C172" s="13"/>
      <c r="D172" s="14"/>
      <c r="E172" s="302" t="s">
        <v>211</v>
      </c>
      <c r="F172" s="303"/>
      <c r="G172" s="304"/>
      <c r="H172" s="31"/>
      <c r="I172" s="14"/>
      <c r="J172" s="14"/>
      <c r="K172" s="14"/>
      <c r="L172" s="14"/>
      <c r="M172" s="14"/>
      <c r="N172" s="14"/>
    </row>
    <row r="173" spans="3:14" x14ac:dyDescent="0.2">
      <c r="C173" s="13"/>
      <c r="D173" s="14"/>
      <c r="E173" s="29" t="s">
        <v>87</v>
      </c>
      <c r="F173" s="304">
        <f>SUM(F160:F172)</f>
        <v>0</v>
      </c>
      <c r="G173" s="304"/>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215</v>
      </c>
      <c r="F175" s="317">
        <f>R151</f>
        <v>0</v>
      </c>
      <c r="G175" s="317"/>
      <c r="H175" s="31"/>
      <c r="I175" s="14"/>
      <c r="J175" s="14"/>
      <c r="K175" s="14"/>
      <c r="L175" s="14"/>
      <c r="M175" s="14"/>
      <c r="N175" s="14"/>
    </row>
    <row r="176" spans="3:14" x14ac:dyDescent="0.2">
      <c r="C176" s="13"/>
      <c r="D176" s="14"/>
      <c r="E176" s="30" t="s">
        <v>189</v>
      </c>
      <c r="F176" s="316">
        <f>F173-F175</f>
        <v>0</v>
      </c>
      <c r="G176" s="317"/>
      <c r="H176" s="31"/>
      <c r="I176" s="14"/>
      <c r="J176" s="14"/>
      <c r="K176" s="14"/>
      <c r="L176" s="14"/>
      <c r="M176" s="14"/>
      <c r="N176" s="14"/>
    </row>
    <row r="177" spans="3:14" ht="14.25" x14ac:dyDescent="0.2">
      <c r="C177" s="13"/>
      <c r="D177" s="14"/>
      <c r="E177" s="310" t="s">
        <v>210</v>
      </c>
      <c r="F177" s="321" t="str">
        <f>IF(F176="","",IF(F176=0,"OK","ISSUE"))</f>
        <v>OK</v>
      </c>
      <c r="G177" s="309"/>
      <c r="H177" s="31"/>
      <c r="I177" s="14"/>
      <c r="J177" s="14"/>
      <c r="K177" s="14"/>
      <c r="L177" s="14"/>
      <c r="M177" s="14"/>
      <c r="N177" s="14"/>
    </row>
    <row r="178" spans="3:14" x14ac:dyDescent="0.2">
      <c r="C178" s="13"/>
      <c r="D178" s="14"/>
      <c r="G178" s="311"/>
      <c r="H178" s="31"/>
      <c r="I178" s="14"/>
      <c r="J178" s="14"/>
      <c r="K178" s="14"/>
      <c r="L178" s="14"/>
      <c r="M178" s="14"/>
      <c r="N178" s="14"/>
    </row>
    <row r="179" spans="3:14" ht="13.5" thickBot="1" x14ac:dyDescent="0.25">
      <c r="C179" s="117"/>
      <c r="D179" s="234"/>
      <c r="E179" s="234"/>
      <c r="F179" s="318"/>
      <c r="G179" s="318"/>
      <c r="H179" s="121"/>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435"/>
  <sheetViews>
    <sheetView zoomScale="80" zoomScaleNormal="80" zoomScalePageLayoutView="80" workbookViewId="0">
      <pane xSplit="5" ySplit="4" topLeftCell="F146" activePane="bottomRight" state="frozen"/>
      <selection activeCell="A10" sqref="A10"/>
      <selection pane="topRight" activeCell="A10" sqref="A10"/>
      <selection pane="bottomLeft" activeCell="A10" sqref="A10"/>
      <selection pane="bottomRight" activeCell="N167" sqref="N167"/>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Queenscliffe (B)</v>
      </c>
    </row>
    <row r="4" spans="1:22" ht="12" customHeight="1" thickBot="1" x14ac:dyDescent="0.25">
      <c r="C4" s="14"/>
      <c r="D4" s="45"/>
      <c r="E4" s="81"/>
      <c r="F4" s="81"/>
      <c r="G4" s="81"/>
      <c r="H4" s="81"/>
      <c r="I4" s="81"/>
      <c r="J4" s="81"/>
      <c r="K4" s="81"/>
      <c r="L4" s="81"/>
      <c r="M4" s="81"/>
      <c r="N4" s="81"/>
      <c r="O4" s="81"/>
      <c r="P4" s="14"/>
      <c r="Q4" s="14"/>
      <c r="R4" s="14"/>
      <c r="S4" s="14"/>
      <c r="T4" s="14"/>
      <c r="U4" s="14"/>
      <c r="V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customHeight="1" x14ac:dyDescent="0.2">
      <c r="C6" s="13"/>
      <c r="D6" s="45"/>
      <c r="E6" s="81"/>
      <c r="F6" s="54"/>
      <c r="G6" s="14"/>
      <c r="H6" s="14"/>
      <c r="I6" s="14"/>
      <c r="J6" s="14"/>
      <c r="K6" s="768" t="str">
        <f>VLOOKUP(' Instructions'!C9,' Instructions'!Q9:U15,2,FALSE)</f>
        <v>2017-18</v>
      </c>
      <c r="L6" s="769"/>
      <c r="M6" s="769"/>
      <c r="N6" s="769"/>
      <c r="O6" s="769"/>
      <c r="P6" s="769"/>
      <c r="Q6" s="769"/>
      <c r="R6" s="769"/>
      <c r="S6" s="769"/>
      <c r="T6" s="771"/>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30" customHeight="1" x14ac:dyDescent="0.2">
      <c r="C8" s="13"/>
      <c r="D8" s="14"/>
      <c r="E8" s="81"/>
      <c r="F8" s="831" t="s">
        <v>107</v>
      </c>
      <c r="G8" s="832"/>
      <c r="H8" s="833"/>
      <c r="I8" s="773" t="s">
        <v>162</v>
      </c>
      <c r="J8" s="14"/>
      <c r="K8" s="837" t="s">
        <v>174</v>
      </c>
      <c r="L8" s="838"/>
      <c r="M8" s="839"/>
      <c r="N8" s="786" t="s">
        <v>101</v>
      </c>
      <c r="O8" s="787"/>
      <c r="P8" s="787"/>
      <c r="Q8" s="787"/>
      <c r="R8" s="788"/>
      <c r="S8" s="772" t="s">
        <v>116</v>
      </c>
      <c r="T8" s="772" t="s">
        <v>91</v>
      </c>
      <c r="U8" s="31"/>
      <c r="V8" s="14"/>
    </row>
    <row r="9" spans="1:22" ht="25.5" x14ac:dyDescent="0.2">
      <c r="C9" s="13"/>
      <c r="D9" s="14"/>
      <c r="E9" s="118"/>
      <c r="F9" s="834"/>
      <c r="G9" s="835"/>
      <c r="H9" s="836"/>
      <c r="I9" s="774"/>
      <c r="J9" s="14"/>
      <c r="K9" s="224" t="s">
        <v>117</v>
      </c>
      <c r="L9" s="224" t="s">
        <v>124</v>
      </c>
      <c r="M9" s="224" t="s">
        <v>161</v>
      </c>
      <c r="N9" s="105" t="s">
        <v>103</v>
      </c>
      <c r="O9" s="105" t="s">
        <v>104</v>
      </c>
      <c r="P9" s="105" t="s">
        <v>105</v>
      </c>
      <c r="Q9" s="105" t="s">
        <v>106</v>
      </c>
      <c r="R9" s="105" t="s">
        <v>87</v>
      </c>
      <c r="S9" s="772"/>
      <c r="T9" s="772"/>
      <c r="U9" s="31"/>
      <c r="V9" s="14"/>
    </row>
    <row r="10" spans="1:22" x14ac:dyDescent="0.2">
      <c r="C10" s="13"/>
      <c r="D10" s="14"/>
      <c r="E10" s="118"/>
      <c r="F10" s="150"/>
      <c r="G10" s="150"/>
      <c r="H10" s="150"/>
      <c r="I10" s="150"/>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793" t="str">
        <f>'[4]ESC Cap Wks'!$A$6</f>
        <v>Harbour Street Path, Road &amp; Drainage Improvements</v>
      </c>
      <c r="F12" s="795" t="s">
        <v>558</v>
      </c>
      <c r="G12" s="827"/>
      <c r="H12" s="828"/>
      <c r="I12" s="702" t="s">
        <v>514</v>
      </c>
      <c r="J12" s="14"/>
      <c r="K12" s="844">
        <v>0</v>
      </c>
      <c r="L12" s="829">
        <v>0</v>
      </c>
      <c r="M12" s="829">
        <v>1</v>
      </c>
      <c r="N12" s="830">
        <v>0</v>
      </c>
      <c r="O12" s="830">
        <f>0.4*GETPIVOTDATA("Sum of 2017/18",'[4]ESC Cap Wks'!$A$3,"ACCOUNT NAME","Harbour Street Path, Road &amp; Drainage Improvements","Statement of Capital Works - Asset Class","40% Roads, 40% Footpaths and cycleways, 20% Drainage","Statement of Capital Works - N/R/U","40% renewal, 60% upgrade")</f>
        <v>32000</v>
      </c>
      <c r="P12" s="830">
        <v>0</v>
      </c>
      <c r="Q12" s="830">
        <f>0.6*GETPIVOTDATA("Sum of 2017/18",'[4]ESC Cap Wks'!$A$3,"ACCOUNT NAME","Harbour Street Path, Road &amp; Drainage Improvements","Statement of Capital Works - Asset Class","40% Roads, 40% Footpaths and cycleways, 20% Drainage","Statement of Capital Works - N/R/U","40% renewal, 60% upgrade")</f>
        <v>48000</v>
      </c>
      <c r="R12" s="840">
        <f>SUM(N12:Q16)</f>
        <v>80000</v>
      </c>
      <c r="S12" s="403" t="s">
        <v>363</v>
      </c>
      <c r="T12" s="404">
        <f>SUM('[9]6. Detailed Capital Works'!$I$48,'[9]6. Detailed Capital Works'!$I$53,'[9]6. Detailed Capital Works'!$I$58)*1000</f>
        <v>80000</v>
      </c>
      <c r="U12" s="31"/>
      <c r="V12" s="14"/>
    </row>
    <row r="13" spans="1:22" ht="12" customHeight="1" x14ac:dyDescent="0.2">
      <c r="C13" s="13"/>
      <c r="D13" s="19"/>
      <c r="E13" s="782"/>
      <c r="F13" s="812"/>
      <c r="G13" s="813"/>
      <c r="H13" s="814"/>
      <c r="I13" s="702" t="s">
        <v>515</v>
      </c>
      <c r="J13" s="14"/>
      <c r="K13" s="805"/>
      <c r="L13" s="805"/>
      <c r="M13" s="805"/>
      <c r="N13" s="779"/>
      <c r="O13" s="779"/>
      <c r="P13" s="779"/>
      <c r="Q13" s="779"/>
      <c r="R13" s="791"/>
      <c r="S13" s="78"/>
      <c r="T13" s="108"/>
      <c r="U13" s="31"/>
      <c r="V13" s="14"/>
    </row>
    <row r="14" spans="1:22" ht="12" customHeight="1" x14ac:dyDescent="0.2">
      <c r="C14" s="13"/>
      <c r="D14" s="19"/>
      <c r="E14" s="782"/>
      <c r="F14" s="812"/>
      <c r="G14" s="813"/>
      <c r="H14" s="814"/>
      <c r="I14" s="702" t="s">
        <v>516</v>
      </c>
      <c r="J14" s="14"/>
      <c r="K14" s="805"/>
      <c r="L14" s="805"/>
      <c r="M14" s="805"/>
      <c r="N14" s="779"/>
      <c r="O14" s="779"/>
      <c r="P14" s="779"/>
      <c r="Q14" s="779"/>
      <c r="R14" s="791"/>
      <c r="S14" s="78"/>
      <c r="T14" s="108"/>
      <c r="U14" s="31"/>
      <c r="V14" s="14"/>
    </row>
    <row r="15" spans="1:22" ht="12" customHeight="1" x14ac:dyDescent="0.2">
      <c r="C15" s="13"/>
      <c r="D15" s="19"/>
      <c r="E15" s="782"/>
      <c r="F15" s="812"/>
      <c r="G15" s="813"/>
      <c r="H15" s="814"/>
      <c r="I15" s="702"/>
      <c r="J15" s="14"/>
      <c r="K15" s="805"/>
      <c r="L15" s="805"/>
      <c r="M15" s="805"/>
      <c r="N15" s="779"/>
      <c r="O15" s="779"/>
      <c r="P15" s="779"/>
      <c r="Q15" s="779"/>
      <c r="R15" s="791"/>
      <c r="S15" s="78"/>
      <c r="T15" s="108"/>
      <c r="U15" s="31"/>
      <c r="V15" s="14"/>
    </row>
    <row r="16" spans="1:22" ht="12" customHeight="1" x14ac:dyDescent="0.2">
      <c r="C16" s="13"/>
      <c r="D16" s="19"/>
      <c r="E16" s="783"/>
      <c r="F16" s="824"/>
      <c r="G16" s="825"/>
      <c r="H16" s="826"/>
      <c r="I16" s="702"/>
      <c r="J16" s="14"/>
      <c r="K16" s="808"/>
      <c r="L16" s="808"/>
      <c r="M16" s="808"/>
      <c r="N16" s="789"/>
      <c r="O16" s="789"/>
      <c r="P16" s="789"/>
      <c r="Q16" s="789"/>
      <c r="R16" s="792"/>
      <c r="S16" s="151" t="s">
        <v>87</v>
      </c>
      <c r="T16" s="109">
        <f>SUM(T12:T15)</f>
        <v>80000</v>
      </c>
      <c r="U16" s="31"/>
      <c r="V16" s="14"/>
    </row>
    <row r="17" spans="3:22" ht="12" customHeight="1" x14ac:dyDescent="0.2">
      <c r="C17" s="13"/>
      <c r="D17" s="19">
        <f>D12+1</f>
        <v>2</v>
      </c>
      <c r="E17" s="781" t="str">
        <f>'[4]ESC Cap Wks'!$A$14</f>
        <v>Develop Stage 2 of the Queenscliff Sports &amp; Recreation Precinct Development Plan</v>
      </c>
      <c r="F17" s="821" t="s">
        <v>517</v>
      </c>
      <c r="G17" s="822"/>
      <c r="H17" s="823"/>
      <c r="I17" s="702" t="s">
        <v>516</v>
      </c>
      <c r="J17" s="14"/>
      <c r="K17" s="804">
        <v>0.5</v>
      </c>
      <c r="L17" s="804">
        <v>0</v>
      </c>
      <c r="M17" s="804">
        <v>0.5</v>
      </c>
      <c r="N17" s="778">
        <f>0.35*GETPIVOTDATA("Sum of 2017/18",'[4]ESC Cap Wks'!$A$3,"ACCOUNT NAME","Develop Stage 2 of the Queenscliff Sports &amp; Recreation Precinct Development Plan","Statement of Capital Works - Asset Class","50% Buildings, 47% RL&amp;CF, 3% Roads","Statement of Capital Works - N/R/U","15% renewal, 50% upgrade, 35% new")</f>
        <v>476884.53049999994</v>
      </c>
      <c r="O17" s="778">
        <f>0.15*GETPIVOTDATA("Sum of 2017/18",'[4]ESC Cap Wks'!$A$3,"ACCOUNT NAME","Develop Stage 2 of the Queenscliff Sports &amp; Recreation Precinct Development Plan","Statement of Capital Works - Asset Class","50% Buildings, 47% RL&amp;CF, 3% Roads","Statement of Capital Works - N/R/U","15% renewal, 50% upgrade, 35% new")</f>
        <v>204379.0845</v>
      </c>
      <c r="P17" s="778">
        <v>0</v>
      </c>
      <c r="Q17" s="778">
        <f>0.5*GETPIVOTDATA("Sum of 2017/18",'[4]ESC Cap Wks'!$A$3,"ACCOUNT NAME","Develop Stage 2 of the Queenscliff Sports &amp; Recreation Precinct Development Plan","Statement of Capital Works - Asset Class","50% Buildings, 47% RL&amp;CF, 3% Roads","Statement of Capital Works - N/R/U","15% renewal, 50% upgrade, 35% new")</f>
        <v>681263.61499999999</v>
      </c>
      <c r="R17" s="790">
        <f>SUM(N17:Q21)</f>
        <v>1362527.23</v>
      </c>
      <c r="S17" s="78" t="s">
        <v>108</v>
      </c>
      <c r="T17" s="110">
        <f>SUM('[9]6. Detailed Capital Works'!$G$109,'[9]6. Detailed Capital Works'!$G$118,'[9]6. Detailed Capital Works'!$G$131)*1000</f>
        <v>1835000</v>
      </c>
      <c r="U17" s="31"/>
      <c r="V17" s="14"/>
    </row>
    <row r="18" spans="3:22" ht="12" customHeight="1" x14ac:dyDescent="0.2">
      <c r="C18" s="13"/>
      <c r="D18" s="19"/>
      <c r="E18" s="782"/>
      <c r="F18" s="798"/>
      <c r="G18" s="799"/>
      <c r="H18" s="800"/>
      <c r="I18" s="702" t="s">
        <v>514</v>
      </c>
      <c r="J18" s="14"/>
      <c r="K18" s="805"/>
      <c r="L18" s="805"/>
      <c r="M18" s="805"/>
      <c r="N18" s="779"/>
      <c r="O18" s="779"/>
      <c r="P18" s="779"/>
      <c r="Q18" s="779"/>
      <c r="R18" s="791"/>
      <c r="S18" s="78" t="s">
        <v>111</v>
      </c>
      <c r="T18" s="110">
        <f>SUM('[9]6. Detailed Capital Works'!$J$109,'[9]6. Detailed Capital Works'!$J$118,'[9]6. Detailed Capital Works'!$J$131)*1000</f>
        <v>-472472.76999999996</v>
      </c>
      <c r="U18" s="31"/>
      <c r="V18" s="14"/>
    </row>
    <row r="19" spans="3:22" ht="12" customHeight="1" x14ac:dyDescent="0.2">
      <c r="C19" s="13"/>
      <c r="D19" s="19"/>
      <c r="E19" s="782"/>
      <c r="F19" s="798"/>
      <c r="G19" s="799"/>
      <c r="H19" s="800"/>
      <c r="I19" s="702" t="s">
        <v>518</v>
      </c>
      <c r="J19" s="14"/>
      <c r="K19" s="805"/>
      <c r="L19" s="805"/>
      <c r="M19" s="805"/>
      <c r="N19" s="779"/>
      <c r="O19" s="779"/>
      <c r="P19" s="779"/>
      <c r="Q19" s="779"/>
      <c r="R19" s="791"/>
      <c r="S19" s="78"/>
      <c r="T19" s="110"/>
      <c r="U19" s="31"/>
      <c r="V19" s="14"/>
    </row>
    <row r="20" spans="3:22" ht="12" customHeight="1" x14ac:dyDescent="0.2">
      <c r="C20" s="13"/>
      <c r="D20" s="19"/>
      <c r="E20" s="782"/>
      <c r="F20" s="798"/>
      <c r="G20" s="799"/>
      <c r="H20" s="800"/>
      <c r="I20" s="702" t="s">
        <v>519</v>
      </c>
      <c r="J20" s="14"/>
      <c r="K20" s="805"/>
      <c r="L20" s="805"/>
      <c r="M20" s="805"/>
      <c r="N20" s="779"/>
      <c r="O20" s="779"/>
      <c r="P20" s="779"/>
      <c r="Q20" s="779"/>
      <c r="R20" s="791"/>
      <c r="S20" s="78"/>
      <c r="T20" s="110"/>
      <c r="U20" s="31"/>
      <c r="V20" s="14"/>
    </row>
    <row r="21" spans="3:22" ht="12" customHeight="1" x14ac:dyDescent="0.2">
      <c r="C21" s="13"/>
      <c r="D21" s="19"/>
      <c r="E21" s="783"/>
      <c r="F21" s="818"/>
      <c r="G21" s="819"/>
      <c r="H21" s="820"/>
      <c r="I21" s="702" t="s">
        <v>515</v>
      </c>
      <c r="J21" s="14"/>
      <c r="K21" s="808"/>
      <c r="L21" s="808"/>
      <c r="M21" s="808"/>
      <c r="N21" s="789"/>
      <c r="O21" s="789"/>
      <c r="P21" s="789"/>
      <c r="Q21" s="789"/>
      <c r="R21" s="792"/>
      <c r="S21" s="151" t="s">
        <v>87</v>
      </c>
      <c r="T21" s="109">
        <f>SUM(T17:T20)</f>
        <v>1362527.23</v>
      </c>
      <c r="U21" s="31"/>
      <c r="V21" s="14"/>
    </row>
    <row r="22" spans="3:22" ht="12" customHeight="1" x14ac:dyDescent="0.2">
      <c r="C22" s="13"/>
      <c r="D22" s="19">
        <f>D17+1</f>
        <v>3</v>
      </c>
      <c r="E22" s="781" t="str">
        <f>'[4]ESC Cap Wks'!$A$41</f>
        <v>Queenscliffe Cultural Hub</v>
      </c>
      <c r="F22" s="821" t="s">
        <v>520</v>
      </c>
      <c r="G22" s="810"/>
      <c r="H22" s="811"/>
      <c r="I22" s="702" t="s">
        <v>515</v>
      </c>
      <c r="J22" s="14"/>
      <c r="K22" s="804">
        <v>1</v>
      </c>
      <c r="L22" s="804">
        <v>0</v>
      </c>
      <c r="M22" s="804">
        <v>0</v>
      </c>
      <c r="N22" s="778">
        <v>0</v>
      </c>
      <c r="O22" s="778">
        <v>0</v>
      </c>
      <c r="P22" s="778">
        <v>0</v>
      </c>
      <c r="Q22" s="778">
        <f>GETPIVOTDATA("Sum of 2017/18",'[4]ESC Cap Wks'!$A$3,"ACCOUNT NAME","Queenscliffe Cultural Hub","Statement of Capital Works - Asset Class","Buildings","Statement of Capital Works - N/R/U","Asset upgrade expenditure")</f>
        <v>100000</v>
      </c>
      <c r="R22" s="790">
        <f>SUM(N22:Q26)</f>
        <v>100000</v>
      </c>
      <c r="S22" s="78" t="s">
        <v>111</v>
      </c>
      <c r="T22" s="110">
        <f>'[9]6. Detailed Capital Works'!$J$13*1000</f>
        <v>100000</v>
      </c>
      <c r="U22" s="31"/>
      <c r="V22" s="14"/>
    </row>
    <row r="23" spans="3:22" ht="12" customHeight="1" x14ac:dyDescent="0.2">
      <c r="C23" s="13"/>
      <c r="D23" s="19"/>
      <c r="E23" s="782"/>
      <c r="F23" s="812"/>
      <c r="G23" s="813"/>
      <c r="H23" s="814"/>
      <c r="I23" s="702" t="s">
        <v>521</v>
      </c>
      <c r="J23" s="14"/>
      <c r="K23" s="805"/>
      <c r="L23" s="805"/>
      <c r="M23" s="805"/>
      <c r="N23" s="779"/>
      <c r="O23" s="779"/>
      <c r="P23" s="779"/>
      <c r="Q23" s="779"/>
      <c r="R23" s="791"/>
      <c r="S23" s="78"/>
      <c r="T23" s="110"/>
      <c r="U23" s="31"/>
      <c r="V23" s="14"/>
    </row>
    <row r="24" spans="3:22" ht="12" customHeight="1" x14ac:dyDescent="0.2">
      <c r="C24" s="13"/>
      <c r="D24" s="19"/>
      <c r="E24" s="782"/>
      <c r="F24" s="812"/>
      <c r="G24" s="813"/>
      <c r="H24" s="814"/>
      <c r="I24" s="702" t="s">
        <v>522</v>
      </c>
      <c r="J24" s="14"/>
      <c r="K24" s="805"/>
      <c r="L24" s="805"/>
      <c r="M24" s="805"/>
      <c r="N24" s="779"/>
      <c r="O24" s="779"/>
      <c r="P24" s="779"/>
      <c r="Q24" s="779"/>
      <c r="R24" s="791"/>
      <c r="S24" s="78"/>
      <c r="T24" s="110"/>
      <c r="U24" s="31"/>
      <c r="V24" s="14"/>
    </row>
    <row r="25" spans="3:22" ht="12" customHeight="1" x14ac:dyDescent="0.2">
      <c r="C25" s="13"/>
      <c r="D25" s="19"/>
      <c r="E25" s="782"/>
      <c r="F25" s="812"/>
      <c r="G25" s="813"/>
      <c r="H25" s="814"/>
      <c r="I25" s="702" t="s">
        <v>514</v>
      </c>
      <c r="J25" s="14"/>
      <c r="K25" s="805"/>
      <c r="L25" s="805"/>
      <c r="M25" s="805"/>
      <c r="N25" s="779"/>
      <c r="O25" s="779"/>
      <c r="P25" s="779"/>
      <c r="Q25" s="779"/>
      <c r="R25" s="791"/>
      <c r="S25" s="78"/>
      <c r="T25" s="110"/>
      <c r="U25" s="31"/>
      <c r="V25" s="14"/>
    </row>
    <row r="26" spans="3:22" ht="12" customHeight="1" x14ac:dyDescent="0.2">
      <c r="C26" s="13"/>
      <c r="D26" s="19"/>
      <c r="E26" s="783"/>
      <c r="F26" s="824"/>
      <c r="G26" s="825"/>
      <c r="H26" s="826"/>
      <c r="I26" s="702"/>
      <c r="J26" s="14"/>
      <c r="K26" s="808"/>
      <c r="L26" s="808"/>
      <c r="M26" s="808"/>
      <c r="N26" s="789"/>
      <c r="O26" s="789"/>
      <c r="P26" s="789"/>
      <c r="Q26" s="789"/>
      <c r="R26" s="792"/>
      <c r="S26" s="151" t="s">
        <v>87</v>
      </c>
      <c r="T26" s="109">
        <f>SUM(T22:T25)</f>
        <v>100000</v>
      </c>
      <c r="U26" s="31"/>
      <c r="V26" s="14"/>
    </row>
    <row r="27" spans="3:22" ht="12" customHeight="1" x14ac:dyDescent="0.2">
      <c r="C27" s="13"/>
      <c r="D27" s="19">
        <f>D22+1</f>
        <v>4</v>
      </c>
      <c r="E27" s="781" t="str">
        <f>'[4]ESC Cap Wks'!$A$45</f>
        <v>Town hall upgrade including solar panels</v>
      </c>
      <c r="F27" s="821" t="s">
        <v>524</v>
      </c>
      <c r="G27" s="822"/>
      <c r="H27" s="823"/>
      <c r="I27" s="702" t="s">
        <v>525</v>
      </c>
      <c r="J27" s="14"/>
      <c r="K27" s="804">
        <v>1</v>
      </c>
      <c r="L27" s="804">
        <v>0</v>
      </c>
      <c r="M27" s="804">
        <v>0</v>
      </c>
      <c r="N27" s="778">
        <f>GETPIVOTDATA("Sum of 2017/18",'[4]ESC Cap Wks'!$A$3,"ACCOUNT NAME","Town hall upgrade including solar panels","Statement of Capital Works - Asset Class","Buildings","Statement of Capital Works - N/R/U","New asset expenditure")</f>
        <v>1688.58</v>
      </c>
      <c r="O27" s="778">
        <v>0</v>
      </c>
      <c r="P27" s="778">
        <v>0</v>
      </c>
      <c r="Q27" s="778">
        <v>0</v>
      </c>
      <c r="R27" s="790">
        <f>SUM(N27:Q31)</f>
        <v>1688.58</v>
      </c>
      <c r="S27" s="78" t="s">
        <v>111</v>
      </c>
      <c r="T27" s="110">
        <f>'[9]6. Detailed Capital Works'!$J$110*1000</f>
        <v>1688.58</v>
      </c>
      <c r="U27" s="31"/>
      <c r="V27" s="14"/>
    </row>
    <row r="28" spans="3:22" ht="12" customHeight="1" x14ac:dyDescent="0.2">
      <c r="C28" s="13"/>
      <c r="D28" s="19"/>
      <c r="E28" s="782"/>
      <c r="F28" s="798"/>
      <c r="G28" s="799"/>
      <c r="H28" s="800"/>
      <c r="I28" s="702" t="s">
        <v>514</v>
      </c>
      <c r="J28" s="14"/>
      <c r="K28" s="805"/>
      <c r="L28" s="805"/>
      <c r="M28" s="805"/>
      <c r="N28" s="779"/>
      <c r="O28" s="779"/>
      <c r="P28" s="779"/>
      <c r="Q28" s="779"/>
      <c r="R28" s="791"/>
      <c r="S28" s="78"/>
      <c r="T28" s="110"/>
      <c r="U28" s="31"/>
      <c r="V28" s="14"/>
    </row>
    <row r="29" spans="3:22" ht="12" customHeight="1" x14ac:dyDescent="0.2">
      <c r="C29" s="13"/>
      <c r="D29" s="19"/>
      <c r="E29" s="782"/>
      <c r="F29" s="798"/>
      <c r="G29" s="799"/>
      <c r="H29" s="800"/>
      <c r="I29" s="702" t="s">
        <v>526</v>
      </c>
      <c r="J29" s="14"/>
      <c r="K29" s="805"/>
      <c r="L29" s="805"/>
      <c r="M29" s="805"/>
      <c r="N29" s="779"/>
      <c r="O29" s="779"/>
      <c r="P29" s="779"/>
      <c r="Q29" s="779"/>
      <c r="R29" s="791"/>
      <c r="S29" s="78"/>
      <c r="T29" s="110"/>
      <c r="U29" s="31"/>
      <c r="V29" s="14"/>
    </row>
    <row r="30" spans="3:22" ht="12" customHeight="1" x14ac:dyDescent="0.2">
      <c r="C30" s="13"/>
      <c r="D30" s="19"/>
      <c r="E30" s="782"/>
      <c r="F30" s="798"/>
      <c r="G30" s="799"/>
      <c r="H30" s="800"/>
      <c r="I30" s="702"/>
      <c r="J30" s="14"/>
      <c r="K30" s="805"/>
      <c r="L30" s="805"/>
      <c r="M30" s="805"/>
      <c r="N30" s="779"/>
      <c r="O30" s="779"/>
      <c r="P30" s="779"/>
      <c r="Q30" s="779"/>
      <c r="R30" s="791"/>
      <c r="S30" s="78"/>
      <c r="T30" s="110"/>
      <c r="U30" s="31"/>
      <c r="V30" s="14"/>
    </row>
    <row r="31" spans="3:22" ht="12" customHeight="1" x14ac:dyDescent="0.2">
      <c r="C31" s="13"/>
      <c r="D31" s="19"/>
      <c r="E31" s="783"/>
      <c r="F31" s="818"/>
      <c r="G31" s="819"/>
      <c r="H31" s="820"/>
      <c r="I31" s="702"/>
      <c r="J31" s="14"/>
      <c r="K31" s="808"/>
      <c r="L31" s="808"/>
      <c r="M31" s="808"/>
      <c r="N31" s="789"/>
      <c r="O31" s="789"/>
      <c r="P31" s="789"/>
      <c r="Q31" s="789"/>
      <c r="R31" s="792"/>
      <c r="S31" s="151" t="s">
        <v>87</v>
      </c>
      <c r="T31" s="109">
        <f>SUM(T27:T30)</f>
        <v>1688.58</v>
      </c>
      <c r="U31" s="31"/>
      <c r="V31" s="14"/>
    </row>
    <row r="32" spans="3:22" x14ac:dyDescent="0.2">
      <c r="C32" s="13"/>
      <c r="D32" s="19">
        <f>D27+1</f>
        <v>5</v>
      </c>
      <c r="E32" s="781" t="str">
        <f>'[4]ESC Cap Wks'!$A$61</f>
        <v>Footpath Strategy</v>
      </c>
      <c r="F32" s="821" t="s">
        <v>527</v>
      </c>
      <c r="G32" s="822"/>
      <c r="H32" s="823"/>
      <c r="I32" s="702" t="s">
        <v>514</v>
      </c>
      <c r="J32" s="14"/>
      <c r="K32" s="804">
        <v>0</v>
      </c>
      <c r="L32" s="804">
        <v>0</v>
      </c>
      <c r="M32" s="804">
        <v>1</v>
      </c>
      <c r="N32" s="778">
        <v>0</v>
      </c>
      <c r="O32" s="778">
        <f>0.5*GETPIVOTDATA("Sum of 2017/18",'[4]ESC Cap Wks'!$A$3,"ACCOUNT NAME","Footpath Strategy","Statement of Capital Works - Asset Class","Footpaths and cycleways","Statement of Capital Works - N/R/U","50% renewal, 50% upgrade")</f>
        <v>10000</v>
      </c>
      <c r="P32" s="778">
        <v>0</v>
      </c>
      <c r="Q32" s="778">
        <f>0.5*GETPIVOTDATA("Sum of 2017/18",'[4]ESC Cap Wks'!$A$3,"ACCOUNT NAME","Footpath Strategy","Statement of Capital Works - Asset Class","Footpaths and cycleways","Statement of Capital Works - N/R/U","50% renewal, 50% upgrade")</f>
        <v>10000</v>
      </c>
      <c r="R32" s="790">
        <f>SUM(N32:Q36)</f>
        <v>20000</v>
      </c>
      <c r="S32" s="78" t="s">
        <v>111</v>
      </c>
      <c r="T32" s="110">
        <f>'[9]6. Detailed Capital Works'!$J$122*1000</f>
        <v>20000</v>
      </c>
      <c r="U32" s="31"/>
      <c r="V32" s="14"/>
    </row>
    <row r="33" spans="3:22" x14ac:dyDescent="0.2">
      <c r="C33" s="13"/>
      <c r="D33" s="19"/>
      <c r="E33" s="782"/>
      <c r="F33" s="798"/>
      <c r="G33" s="799"/>
      <c r="H33" s="800"/>
      <c r="I33" s="702" t="s">
        <v>516</v>
      </c>
      <c r="J33" s="14"/>
      <c r="K33" s="805"/>
      <c r="L33" s="805"/>
      <c r="M33" s="805"/>
      <c r="N33" s="779"/>
      <c r="O33" s="779"/>
      <c r="P33" s="779"/>
      <c r="Q33" s="779"/>
      <c r="R33" s="791"/>
      <c r="S33" s="78"/>
      <c r="T33" s="110"/>
      <c r="U33" s="31"/>
      <c r="V33" s="14"/>
    </row>
    <row r="34" spans="3:22" x14ac:dyDescent="0.2">
      <c r="C34" s="13"/>
      <c r="D34" s="19"/>
      <c r="E34" s="782"/>
      <c r="F34" s="798"/>
      <c r="G34" s="799"/>
      <c r="H34" s="800"/>
      <c r="I34" s="702" t="s">
        <v>528</v>
      </c>
      <c r="J34" s="14"/>
      <c r="K34" s="805"/>
      <c r="L34" s="805"/>
      <c r="M34" s="805"/>
      <c r="N34" s="779"/>
      <c r="O34" s="779"/>
      <c r="P34" s="779"/>
      <c r="Q34" s="779"/>
      <c r="R34" s="791"/>
      <c r="S34" s="78"/>
      <c r="T34" s="110"/>
      <c r="U34" s="31"/>
      <c r="V34" s="14"/>
    </row>
    <row r="35" spans="3:22" x14ac:dyDescent="0.2">
      <c r="C35" s="13"/>
      <c r="D35" s="19"/>
      <c r="E35" s="782"/>
      <c r="F35" s="798"/>
      <c r="G35" s="799"/>
      <c r="H35" s="800"/>
      <c r="I35" s="702" t="s">
        <v>515</v>
      </c>
      <c r="J35" s="14"/>
      <c r="K35" s="805"/>
      <c r="L35" s="805"/>
      <c r="M35" s="805"/>
      <c r="N35" s="779"/>
      <c r="O35" s="779"/>
      <c r="P35" s="779"/>
      <c r="Q35" s="779"/>
      <c r="R35" s="791"/>
      <c r="S35" s="78"/>
      <c r="T35" s="110"/>
      <c r="U35" s="31"/>
      <c r="V35" s="14"/>
    </row>
    <row r="36" spans="3:22" x14ac:dyDescent="0.2">
      <c r="C36" s="13"/>
      <c r="D36" s="19"/>
      <c r="E36" s="783"/>
      <c r="F36" s="818"/>
      <c r="G36" s="819"/>
      <c r="H36" s="820"/>
      <c r="I36" s="702"/>
      <c r="J36" s="14"/>
      <c r="K36" s="808"/>
      <c r="L36" s="808"/>
      <c r="M36" s="808"/>
      <c r="N36" s="789"/>
      <c r="O36" s="789"/>
      <c r="P36" s="789"/>
      <c r="Q36" s="789"/>
      <c r="R36" s="792"/>
      <c r="S36" s="151" t="s">
        <v>87</v>
      </c>
      <c r="T36" s="109">
        <f>SUM(T32:T35)</f>
        <v>20000</v>
      </c>
      <c r="U36" s="31"/>
      <c r="V36" s="14"/>
    </row>
    <row r="37" spans="3:22" x14ac:dyDescent="0.2">
      <c r="C37" s="13"/>
      <c r="D37" s="19">
        <f>D32+1</f>
        <v>6</v>
      </c>
      <c r="E37" s="781" t="str">
        <f>'[4]ESC Cap Wks'!$A$78</f>
        <v>Plan for redevelopment of Council freehold land</v>
      </c>
      <c r="F37" s="821" t="s">
        <v>529</v>
      </c>
      <c r="G37" s="822"/>
      <c r="H37" s="823"/>
      <c r="I37" s="702" t="s">
        <v>514</v>
      </c>
      <c r="J37" s="14"/>
      <c r="K37" s="804">
        <v>1</v>
      </c>
      <c r="L37" s="804">
        <v>0</v>
      </c>
      <c r="M37" s="804">
        <v>0</v>
      </c>
      <c r="N37" s="778">
        <v>0</v>
      </c>
      <c r="O37" s="778">
        <v>0</v>
      </c>
      <c r="P37" s="778">
        <v>0</v>
      </c>
      <c r="Q37" s="778">
        <f>GETPIVOTDATA("Sum of 2017/18",'[4]ESC Cap Wks'!$A$3,"ACCOUNT NAME","Plan for redevelopment of Council freehold land","Statement of Capital Works - Asset Class","Land improvements","Statement of Capital Works - N/R/U","Asset upgrade expenditure")</f>
        <v>75505</v>
      </c>
      <c r="R37" s="790">
        <f>SUM(N37:Q41)</f>
        <v>75505</v>
      </c>
      <c r="S37" s="78" t="s">
        <v>111</v>
      </c>
      <c r="T37" s="110">
        <f>'[9]6. Detailed Capital Works'!$J$101*1000</f>
        <v>75505</v>
      </c>
      <c r="U37" s="31"/>
      <c r="V37" s="14"/>
    </row>
    <row r="38" spans="3:22" x14ac:dyDescent="0.2">
      <c r="C38" s="13"/>
      <c r="D38" s="19"/>
      <c r="E38" s="782"/>
      <c r="F38" s="798"/>
      <c r="G38" s="799"/>
      <c r="H38" s="800"/>
      <c r="I38" s="702" t="s">
        <v>525</v>
      </c>
      <c r="J38" s="14"/>
      <c r="K38" s="805"/>
      <c r="L38" s="805"/>
      <c r="M38" s="805"/>
      <c r="N38" s="779"/>
      <c r="O38" s="779"/>
      <c r="P38" s="779"/>
      <c r="Q38" s="779"/>
      <c r="R38" s="791"/>
      <c r="S38" s="78"/>
      <c r="T38" s="110"/>
      <c r="U38" s="31"/>
      <c r="V38" s="14"/>
    </row>
    <row r="39" spans="3:22" x14ac:dyDescent="0.2">
      <c r="C39" s="13"/>
      <c r="D39" s="19"/>
      <c r="E39" s="782"/>
      <c r="F39" s="798"/>
      <c r="G39" s="799"/>
      <c r="H39" s="800"/>
      <c r="I39" s="702"/>
      <c r="J39" s="14"/>
      <c r="K39" s="805"/>
      <c r="L39" s="805"/>
      <c r="M39" s="805"/>
      <c r="N39" s="779"/>
      <c r="O39" s="779"/>
      <c r="P39" s="779"/>
      <c r="Q39" s="779"/>
      <c r="R39" s="791"/>
      <c r="S39" s="78"/>
      <c r="T39" s="110"/>
      <c r="U39" s="31"/>
      <c r="V39" s="14"/>
    </row>
    <row r="40" spans="3:22" x14ac:dyDescent="0.2">
      <c r="C40" s="13"/>
      <c r="D40" s="19"/>
      <c r="E40" s="782"/>
      <c r="F40" s="798"/>
      <c r="G40" s="799"/>
      <c r="H40" s="800"/>
      <c r="I40" s="702"/>
      <c r="J40" s="14"/>
      <c r="K40" s="805"/>
      <c r="L40" s="805"/>
      <c r="M40" s="805"/>
      <c r="N40" s="779"/>
      <c r="O40" s="779"/>
      <c r="P40" s="779"/>
      <c r="Q40" s="779"/>
      <c r="R40" s="791"/>
      <c r="S40" s="78"/>
      <c r="T40" s="110"/>
      <c r="U40" s="31"/>
      <c r="V40" s="14"/>
    </row>
    <row r="41" spans="3:22" x14ac:dyDescent="0.2">
      <c r="C41" s="13"/>
      <c r="D41" s="19"/>
      <c r="E41" s="783"/>
      <c r="F41" s="818"/>
      <c r="G41" s="819"/>
      <c r="H41" s="820"/>
      <c r="I41" s="702"/>
      <c r="J41" s="14"/>
      <c r="K41" s="808"/>
      <c r="L41" s="808"/>
      <c r="M41" s="808"/>
      <c r="N41" s="789"/>
      <c r="O41" s="789"/>
      <c r="P41" s="789"/>
      <c r="Q41" s="789"/>
      <c r="R41" s="792"/>
      <c r="S41" s="151" t="s">
        <v>87</v>
      </c>
      <c r="T41" s="109">
        <f>SUM(T37:T40)</f>
        <v>75505</v>
      </c>
      <c r="U41" s="31"/>
      <c r="V41" s="14"/>
    </row>
    <row r="42" spans="3:22" ht="12.75" customHeight="1" x14ac:dyDescent="0.2">
      <c r="C42" s="13"/>
      <c r="D42" s="19">
        <f>D37+1</f>
        <v>7</v>
      </c>
      <c r="E42" s="781" t="str">
        <f>'[4]ESC Cap Wks'!$A$92</f>
        <v>Towns entry and main road tourism signage plan</v>
      </c>
      <c r="F42" s="821" t="s">
        <v>531</v>
      </c>
      <c r="G42" s="810"/>
      <c r="H42" s="811"/>
      <c r="I42" s="702" t="s">
        <v>519</v>
      </c>
      <c r="J42" s="14"/>
      <c r="K42" s="804">
        <v>0</v>
      </c>
      <c r="L42" s="804">
        <v>0</v>
      </c>
      <c r="M42" s="804">
        <v>1</v>
      </c>
      <c r="N42" s="778">
        <v>0</v>
      </c>
      <c r="O42" s="778">
        <f>GETPIVOTDATA("Sum of 2017/18",'[4]ESC Cap Wks'!$A$3,"ACCOUNT NAME","Towns entry and main road tourism signage plan","Statement of Capital Works - Asset Class","Other infrastructure","Statement of Capital Works - N/R/U","Asset renewal expenditure")-'[8]After meeting with Lenny 300517'!$D$11</f>
        <v>13647.07</v>
      </c>
      <c r="P42" s="778">
        <v>0</v>
      </c>
      <c r="Q42" s="778">
        <v>0</v>
      </c>
      <c r="R42" s="790">
        <f>SUM(N42:Q46)</f>
        <v>13647.07</v>
      </c>
      <c r="S42" s="78"/>
      <c r="T42" s="110"/>
      <c r="U42" s="31"/>
      <c r="V42" s="14"/>
    </row>
    <row r="43" spans="3:22" ht="12.75" customHeight="1" x14ac:dyDescent="0.2">
      <c r="C43" s="13"/>
      <c r="D43" s="19"/>
      <c r="E43" s="782"/>
      <c r="F43" s="812"/>
      <c r="G43" s="813"/>
      <c r="H43" s="814"/>
      <c r="I43" s="702"/>
      <c r="J43" s="14"/>
      <c r="K43" s="805"/>
      <c r="L43" s="805"/>
      <c r="M43" s="805"/>
      <c r="N43" s="779"/>
      <c r="O43" s="779"/>
      <c r="P43" s="779"/>
      <c r="Q43" s="779"/>
      <c r="R43" s="791"/>
      <c r="S43" s="78" t="s">
        <v>111</v>
      </c>
      <c r="T43" s="110">
        <f>'[9]6. Detailed Capital Works'!$J$142*1000</f>
        <v>13647.07</v>
      </c>
      <c r="U43" s="31"/>
      <c r="V43" s="14"/>
    </row>
    <row r="44" spans="3:22" ht="12.75" customHeight="1" x14ac:dyDescent="0.2">
      <c r="C44" s="13"/>
      <c r="D44" s="19"/>
      <c r="E44" s="782"/>
      <c r="F44" s="812"/>
      <c r="G44" s="813"/>
      <c r="H44" s="814"/>
      <c r="I44" s="702"/>
      <c r="J44" s="14"/>
      <c r="K44" s="805"/>
      <c r="L44" s="805"/>
      <c r="M44" s="805"/>
      <c r="N44" s="779"/>
      <c r="O44" s="779"/>
      <c r="P44" s="779"/>
      <c r="Q44" s="779"/>
      <c r="R44" s="791"/>
      <c r="S44" s="78"/>
      <c r="T44" s="110"/>
      <c r="U44" s="31"/>
      <c r="V44" s="14"/>
    </row>
    <row r="45" spans="3:22" ht="12.75" customHeight="1" x14ac:dyDescent="0.2">
      <c r="C45" s="13"/>
      <c r="D45" s="19"/>
      <c r="E45" s="782"/>
      <c r="F45" s="812"/>
      <c r="G45" s="813"/>
      <c r="H45" s="814"/>
      <c r="I45" s="702"/>
      <c r="J45" s="14"/>
      <c r="K45" s="805"/>
      <c r="L45" s="805"/>
      <c r="M45" s="805"/>
      <c r="N45" s="779"/>
      <c r="O45" s="779"/>
      <c r="P45" s="779"/>
      <c r="Q45" s="779"/>
      <c r="R45" s="791"/>
      <c r="S45" s="78"/>
      <c r="T45" s="110"/>
      <c r="U45" s="31"/>
      <c r="V45" s="14"/>
    </row>
    <row r="46" spans="3:22" ht="12.75" customHeight="1" x14ac:dyDescent="0.2">
      <c r="C46" s="13"/>
      <c r="D46" s="19"/>
      <c r="E46" s="783"/>
      <c r="F46" s="824"/>
      <c r="G46" s="825"/>
      <c r="H46" s="826"/>
      <c r="I46" s="702"/>
      <c r="J46" s="14"/>
      <c r="K46" s="808"/>
      <c r="L46" s="808"/>
      <c r="M46" s="808"/>
      <c r="N46" s="789"/>
      <c r="O46" s="789"/>
      <c r="P46" s="789"/>
      <c r="Q46" s="789"/>
      <c r="R46" s="792"/>
      <c r="S46" s="151" t="s">
        <v>87</v>
      </c>
      <c r="T46" s="109">
        <f>SUM(T42:T45)</f>
        <v>13647.07</v>
      </c>
      <c r="U46" s="31"/>
      <c r="V46" s="14"/>
    </row>
    <row r="47" spans="3:22" ht="12" customHeight="1" x14ac:dyDescent="0.2">
      <c r="C47" s="13"/>
      <c r="D47" s="19">
        <f>D42+1</f>
        <v>8</v>
      </c>
      <c r="E47" s="781" t="str">
        <f>'[4]ESC Cap Wks'!$A$95</f>
        <v>Plan for enhancing alternate power supply</v>
      </c>
      <c r="F47" s="821" t="s">
        <v>532</v>
      </c>
      <c r="G47" s="822"/>
      <c r="H47" s="823"/>
      <c r="I47" s="702" t="s">
        <v>525</v>
      </c>
      <c r="J47" s="14"/>
      <c r="K47" s="804">
        <v>0</v>
      </c>
      <c r="L47" s="804">
        <v>0</v>
      </c>
      <c r="M47" s="804">
        <v>1</v>
      </c>
      <c r="N47" s="778">
        <v>0</v>
      </c>
      <c r="O47" s="778">
        <v>0</v>
      </c>
      <c r="P47" s="778">
        <v>0</v>
      </c>
      <c r="Q47" s="778">
        <f>GETPIVOTDATA("Sum of 2017/18",'[4]ESC Cap Wks'!$A$3,"ACCOUNT NAME","Plan for enhancing alternate power supply","Statement of Capital Works - Asset Class","Other infrastructure","Statement of Capital Works - N/R/U","Asset upgrade expenditure")</f>
        <v>15000</v>
      </c>
      <c r="R47" s="790">
        <f>SUM(N47:Q51)</f>
        <v>15000</v>
      </c>
      <c r="S47" s="78" t="s">
        <v>111</v>
      </c>
      <c r="T47" s="110">
        <f>'[9]6. Detailed Capital Works'!$J$84*1000</f>
        <v>15000</v>
      </c>
      <c r="U47" s="31"/>
      <c r="V47" s="14"/>
    </row>
    <row r="48" spans="3:22" ht="12" customHeight="1" x14ac:dyDescent="0.2">
      <c r="C48" s="13"/>
      <c r="D48" s="19"/>
      <c r="E48" s="782"/>
      <c r="F48" s="798"/>
      <c r="G48" s="799"/>
      <c r="H48" s="800"/>
      <c r="I48" s="702" t="s">
        <v>533</v>
      </c>
      <c r="J48" s="14"/>
      <c r="K48" s="805"/>
      <c r="L48" s="805"/>
      <c r="M48" s="805"/>
      <c r="N48" s="779"/>
      <c r="O48" s="779"/>
      <c r="P48" s="779"/>
      <c r="Q48" s="779"/>
      <c r="R48" s="791"/>
      <c r="S48" s="78"/>
      <c r="T48" s="110"/>
      <c r="U48" s="31"/>
      <c r="V48" s="14"/>
    </row>
    <row r="49" spans="3:22" ht="12" customHeight="1" x14ac:dyDescent="0.2">
      <c r="C49" s="13"/>
      <c r="D49" s="19"/>
      <c r="E49" s="782"/>
      <c r="F49" s="798"/>
      <c r="G49" s="799"/>
      <c r="H49" s="800"/>
      <c r="I49" s="702"/>
      <c r="J49" s="14"/>
      <c r="K49" s="805"/>
      <c r="L49" s="805"/>
      <c r="M49" s="805"/>
      <c r="N49" s="779"/>
      <c r="O49" s="779"/>
      <c r="P49" s="779"/>
      <c r="Q49" s="779"/>
      <c r="R49" s="791"/>
      <c r="S49" s="78"/>
      <c r="T49" s="110"/>
      <c r="U49" s="31"/>
      <c r="V49" s="14"/>
    </row>
    <row r="50" spans="3:22" ht="12" customHeight="1" x14ac:dyDescent="0.2">
      <c r="C50" s="13"/>
      <c r="D50" s="19"/>
      <c r="E50" s="782"/>
      <c r="F50" s="798"/>
      <c r="G50" s="799"/>
      <c r="H50" s="800"/>
      <c r="I50" s="702"/>
      <c r="J50" s="14"/>
      <c r="K50" s="805"/>
      <c r="L50" s="805"/>
      <c r="M50" s="805"/>
      <c r="N50" s="779"/>
      <c r="O50" s="779"/>
      <c r="P50" s="779"/>
      <c r="Q50" s="779"/>
      <c r="R50" s="791"/>
      <c r="S50" s="78"/>
      <c r="T50" s="110"/>
      <c r="U50" s="31"/>
      <c r="V50" s="14"/>
    </row>
    <row r="51" spans="3:22" ht="12" customHeight="1" x14ac:dyDescent="0.2">
      <c r="C51" s="13"/>
      <c r="D51" s="19"/>
      <c r="E51" s="794"/>
      <c r="F51" s="801"/>
      <c r="G51" s="802"/>
      <c r="H51" s="803"/>
      <c r="I51" s="703"/>
      <c r="J51" s="14"/>
      <c r="K51" s="806"/>
      <c r="L51" s="806"/>
      <c r="M51" s="806"/>
      <c r="N51" s="780"/>
      <c r="O51" s="780"/>
      <c r="P51" s="780"/>
      <c r="Q51" s="780"/>
      <c r="R51" s="807"/>
      <c r="S51" s="122" t="s">
        <v>87</v>
      </c>
      <c r="T51" s="123">
        <f>SUM(T47:T50)</f>
        <v>15000</v>
      </c>
      <c r="U51" s="31"/>
      <c r="V51" s="14"/>
    </row>
    <row r="52" spans="3:22" ht="12" customHeight="1" x14ac:dyDescent="0.2">
      <c r="C52" s="13"/>
      <c r="D52" s="19">
        <f>D47+1</f>
        <v>9</v>
      </c>
      <c r="E52" s="793" t="str">
        <f>'[4]ESC Cap Wks'!$A$96</f>
        <v>Street Signs Upgrade</v>
      </c>
      <c r="F52" s="795" t="s">
        <v>534</v>
      </c>
      <c r="G52" s="796"/>
      <c r="H52" s="797"/>
      <c r="I52" s="702" t="s">
        <v>514</v>
      </c>
      <c r="J52" s="14"/>
      <c r="K52" s="804">
        <v>0</v>
      </c>
      <c r="L52" s="804">
        <v>0</v>
      </c>
      <c r="M52" s="804">
        <v>1</v>
      </c>
      <c r="N52" s="778">
        <v>0</v>
      </c>
      <c r="O52" s="778">
        <v>0</v>
      </c>
      <c r="P52" s="778">
        <v>0</v>
      </c>
      <c r="Q52" s="778">
        <f>GETPIVOTDATA("Sum of 2017/18",'[4]ESC Cap Wks'!$A$3,"ACCOUNT NAME","Street Signs Upgrade","Statement of Capital Works - Asset Class","Other infrastructure","Statement of Capital Works - N/R/U","Asset upgrade expenditure")</f>
        <v>5000</v>
      </c>
      <c r="R52" s="790">
        <f>SUM(N52:Q56)</f>
        <v>5000</v>
      </c>
      <c r="S52" s="78" t="s">
        <v>111</v>
      </c>
      <c r="T52" s="110">
        <f>'[9]6. Detailed Capital Works'!$J$143*1000</f>
        <v>5000</v>
      </c>
      <c r="U52" s="31"/>
      <c r="V52" s="14"/>
    </row>
    <row r="53" spans="3:22" ht="12" customHeight="1" x14ac:dyDescent="0.2">
      <c r="C53" s="13"/>
      <c r="D53" s="19"/>
      <c r="E53" s="782"/>
      <c r="F53" s="798"/>
      <c r="G53" s="799"/>
      <c r="H53" s="800"/>
      <c r="I53" s="702" t="s">
        <v>519</v>
      </c>
      <c r="J53" s="14"/>
      <c r="K53" s="805"/>
      <c r="L53" s="805"/>
      <c r="M53" s="805"/>
      <c r="N53" s="779"/>
      <c r="O53" s="779"/>
      <c r="P53" s="779"/>
      <c r="Q53" s="779"/>
      <c r="R53" s="791"/>
      <c r="S53" s="78"/>
      <c r="T53" s="110"/>
      <c r="U53" s="31"/>
      <c r="V53" s="14"/>
    </row>
    <row r="54" spans="3:22" ht="12" customHeight="1" x14ac:dyDescent="0.2">
      <c r="C54" s="13"/>
      <c r="D54" s="19"/>
      <c r="E54" s="782"/>
      <c r="F54" s="798"/>
      <c r="G54" s="799"/>
      <c r="H54" s="800"/>
      <c r="I54" s="702"/>
      <c r="J54" s="14"/>
      <c r="K54" s="805"/>
      <c r="L54" s="805"/>
      <c r="M54" s="805"/>
      <c r="N54" s="779"/>
      <c r="O54" s="779"/>
      <c r="P54" s="779"/>
      <c r="Q54" s="779"/>
      <c r="R54" s="791"/>
      <c r="S54" s="78"/>
      <c r="T54" s="110"/>
      <c r="U54" s="31"/>
      <c r="V54" s="14"/>
    </row>
    <row r="55" spans="3:22" ht="12" customHeight="1" x14ac:dyDescent="0.2">
      <c r="C55" s="13"/>
      <c r="D55" s="19"/>
      <c r="E55" s="782"/>
      <c r="F55" s="798"/>
      <c r="G55" s="799"/>
      <c r="H55" s="800"/>
      <c r="I55" s="702"/>
      <c r="J55" s="14"/>
      <c r="K55" s="805"/>
      <c r="L55" s="805"/>
      <c r="M55" s="805"/>
      <c r="N55" s="779"/>
      <c r="O55" s="779"/>
      <c r="P55" s="779"/>
      <c r="Q55" s="779"/>
      <c r="R55" s="791"/>
      <c r="S55" s="78"/>
      <c r="T55" s="110"/>
      <c r="U55" s="31"/>
      <c r="V55" s="14"/>
    </row>
    <row r="56" spans="3:22" ht="12" customHeight="1" x14ac:dyDescent="0.2">
      <c r="C56" s="13"/>
      <c r="D56" s="19"/>
      <c r="E56" s="794"/>
      <c r="F56" s="801"/>
      <c r="G56" s="802"/>
      <c r="H56" s="803"/>
      <c r="I56" s="703"/>
      <c r="J56" s="14"/>
      <c r="K56" s="806"/>
      <c r="L56" s="806"/>
      <c r="M56" s="806"/>
      <c r="N56" s="780"/>
      <c r="O56" s="780"/>
      <c r="P56" s="780"/>
      <c r="Q56" s="780"/>
      <c r="R56" s="807"/>
      <c r="S56" s="122" t="s">
        <v>87</v>
      </c>
      <c r="T56" s="123">
        <f>SUM(T52:T55)</f>
        <v>5000</v>
      </c>
      <c r="U56" s="31"/>
      <c r="V56" s="14"/>
    </row>
    <row r="57" spans="3:22" x14ac:dyDescent="0.2">
      <c r="C57" s="13"/>
      <c r="D57" s="19">
        <f>D52+1</f>
        <v>10</v>
      </c>
      <c r="E57" s="781" t="str">
        <f>'[4]ESC Cap Wks'!$A$106</f>
        <v>King Street Bus Stop</v>
      </c>
      <c r="F57" s="795" t="s">
        <v>535</v>
      </c>
      <c r="G57" s="796"/>
      <c r="H57" s="797"/>
      <c r="I57" s="702" t="s">
        <v>516</v>
      </c>
      <c r="J57" s="14"/>
      <c r="K57" s="804">
        <v>0</v>
      </c>
      <c r="L57" s="804">
        <v>0</v>
      </c>
      <c r="M57" s="804">
        <v>1</v>
      </c>
      <c r="N57" s="778">
        <f>GETPIVOTDATA("Sum of 2017/18",'[4]ESC Cap Wks'!$A$3,"ACCOUNT NAME","King Street Bus Stop","Statement of Capital Works - Asset Class","Other infrastructure","Statement of Capital Works - N/R/U","New asset expenditure")</f>
        <v>30000</v>
      </c>
      <c r="O57" s="778">
        <v>0</v>
      </c>
      <c r="P57" s="778">
        <v>0</v>
      </c>
      <c r="Q57" s="778">
        <v>0</v>
      </c>
      <c r="R57" s="790">
        <f>SUM(N57:Q61)</f>
        <v>30000</v>
      </c>
      <c r="S57" s="78" t="s">
        <v>108</v>
      </c>
      <c r="T57" s="110">
        <f>'[9]6. Detailed Capital Works'!$G$141*1000</f>
        <v>10000</v>
      </c>
      <c r="U57" s="31"/>
      <c r="V57" s="14"/>
    </row>
    <row r="58" spans="3:22" x14ac:dyDescent="0.2">
      <c r="C58" s="13"/>
      <c r="D58" s="19"/>
      <c r="E58" s="782"/>
      <c r="F58" s="798"/>
      <c r="G58" s="799"/>
      <c r="H58" s="800"/>
      <c r="I58" s="702" t="s">
        <v>525</v>
      </c>
      <c r="J58" s="14"/>
      <c r="K58" s="805"/>
      <c r="L58" s="805"/>
      <c r="M58" s="805"/>
      <c r="N58" s="779"/>
      <c r="O58" s="779"/>
      <c r="P58" s="779"/>
      <c r="Q58" s="779"/>
      <c r="R58" s="791"/>
      <c r="S58" s="78" t="s">
        <v>111</v>
      </c>
      <c r="T58" s="110">
        <f>'[9]6. Detailed Capital Works'!$J$141*1000</f>
        <v>10000</v>
      </c>
      <c r="U58" s="31"/>
      <c r="V58" s="14"/>
    </row>
    <row r="59" spans="3:22" x14ac:dyDescent="0.2">
      <c r="C59" s="13"/>
      <c r="D59" s="19"/>
      <c r="E59" s="782"/>
      <c r="F59" s="798"/>
      <c r="G59" s="799"/>
      <c r="H59" s="800"/>
      <c r="I59" s="702" t="s">
        <v>528</v>
      </c>
      <c r="J59" s="14"/>
      <c r="K59" s="805"/>
      <c r="L59" s="805"/>
      <c r="M59" s="805"/>
      <c r="N59" s="779"/>
      <c r="O59" s="779"/>
      <c r="P59" s="779"/>
      <c r="Q59" s="779"/>
      <c r="R59" s="791"/>
      <c r="S59" s="78" t="s">
        <v>363</v>
      </c>
      <c r="T59" s="110">
        <f>'[9]6. Detailed Capital Works'!$I$141*1000</f>
        <v>10000</v>
      </c>
      <c r="U59" s="31"/>
      <c r="V59" s="14"/>
    </row>
    <row r="60" spans="3:22" x14ac:dyDescent="0.2">
      <c r="C60" s="13"/>
      <c r="D60" s="19"/>
      <c r="E60" s="782"/>
      <c r="F60" s="798"/>
      <c r="G60" s="799"/>
      <c r="H60" s="800"/>
      <c r="I60" s="702" t="s">
        <v>519</v>
      </c>
      <c r="J60" s="14"/>
      <c r="K60" s="805"/>
      <c r="L60" s="805"/>
      <c r="M60" s="805"/>
      <c r="N60" s="779"/>
      <c r="O60" s="779"/>
      <c r="P60" s="779"/>
      <c r="Q60" s="779"/>
      <c r="R60" s="791"/>
      <c r="S60" s="78"/>
      <c r="T60" s="110"/>
      <c r="U60" s="31"/>
      <c r="V60" s="14"/>
    </row>
    <row r="61" spans="3:22" x14ac:dyDescent="0.2">
      <c r="C61" s="13"/>
      <c r="D61" s="19"/>
      <c r="E61" s="794"/>
      <c r="F61" s="801"/>
      <c r="G61" s="802"/>
      <c r="H61" s="803"/>
      <c r="I61" s="703"/>
      <c r="J61" s="14"/>
      <c r="K61" s="806"/>
      <c r="L61" s="806"/>
      <c r="M61" s="806"/>
      <c r="N61" s="780"/>
      <c r="O61" s="780"/>
      <c r="P61" s="780"/>
      <c r="Q61" s="780"/>
      <c r="R61" s="807"/>
      <c r="S61" s="122" t="s">
        <v>87</v>
      </c>
      <c r="T61" s="123">
        <f>SUM(T57:T60)</f>
        <v>30000</v>
      </c>
      <c r="U61" s="31"/>
      <c r="V61" s="14"/>
    </row>
    <row r="62" spans="3:22" x14ac:dyDescent="0.2">
      <c r="C62" s="13"/>
      <c r="D62" s="19">
        <f>D57+1</f>
        <v>11</v>
      </c>
      <c r="E62" s="781" t="str">
        <f>'[4]ESC Cap Wks'!$A$107</f>
        <v>Streetlight Replacement to LED</v>
      </c>
      <c r="F62" s="795" t="s">
        <v>536</v>
      </c>
      <c r="G62" s="796"/>
      <c r="H62" s="797"/>
      <c r="I62" s="702" t="s">
        <v>525</v>
      </c>
      <c r="J62" s="14"/>
      <c r="K62" s="804">
        <v>0</v>
      </c>
      <c r="L62" s="804">
        <v>0</v>
      </c>
      <c r="M62" s="804">
        <v>1</v>
      </c>
      <c r="N62" s="778">
        <f>GETPIVOTDATA("Sum of 2017/18",'[4]ESC Cap Wks'!$A$3,"ACCOUNT NAME","Streetlight Replacement to LED","Statement of Capital Works - Asset Class","Other infrastructure","Statement of Capital Works - N/R/U","New asset expenditure")</f>
        <v>186000</v>
      </c>
      <c r="O62" s="778">
        <v>0</v>
      </c>
      <c r="P62" s="778">
        <v>0</v>
      </c>
      <c r="Q62" s="778">
        <v>0</v>
      </c>
      <c r="R62" s="790">
        <f>SUM(N62:Q66)</f>
        <v>186000</v>
      </c>
      <c r="S62" s="78" t="s">
        <v>443</v>
      </c>
      <c r="T62" s="110">
        <f>'[9]6. Detailed Capital Works'!$K$140*1000</f>
        <v>177434.52</v>
      </c>
      <c r="U62" s="31"/>
      <c r="V62" s="14"/>
    </row>
    <row r="63" spans="3:22" x14ac:dyDescent="0.2">
      <c r="C63" s="13"/>
      <c r="D63" s="19"/>
      <c r="E63" s="782"/>
      <c r="F63" s="798"/>
      <c r="G63" s="799"/>
      <c r="H63" s="800"/>
      <c r="I63" s="702" t="s">
        <v>537</v>
      </c>
      <c r="J63" s="14"/>
      <c r="K63" s="805"/>
      <c r="L63" s="805"/>
      <c r="M63" s="805"/>
      <c r="N63" s="779"/>
      <c r="O63" s="779"/>
      <c r="P63" s="779"/>
      <c r="Q63" s="779"/>
      <c r="R63" s="791"/>
      <c r="S63" s="78" t="s">
        <v>111</v>
      </c>
      <c r="T63" s="110">
        <f>'[9]6. Detailed Capital Works'!$J$140*1000</f>
        <v>8565.48</v>
      </c>
      <c r="U63" s="31"/>
      <c r="V63" s="14"/>
    </row>
    <row r="64" spans="3:22" x14ac:dyDescent="0.2">
      <c r="C64" s="13"/>
      <c r="D64" s="19"/>
      <c r="E64" s="782"/>
      <c r="F64" s="798"/>
      <c r="G64" s="799"/>
      <c r="H64" s="800"/>
      <c r="I64" s="702" t="s">
        <v>533</v>
      </c>
      <c r="J64" s="14"/>
      <c r="K64" s="805"/>
      <c r="L64" s="805"/>
      <c r="M64" s="805"/>
      <c r="N64" s="779"/>
      <c r="O64" s="779"/>
      <c r="P64" s="779"/>
      <c r="Q64" s="779"/>
      <c r="R64" s="791"/>
      <c r="S64" s="78"/>
      <c r="T64" s="110"/>
      <c r="U64" s="31"/>
      <c r="V64" s="14"/>
    </row>
    <row r="65" spans="3:22" x14ac:dyDescent="0.2">
      <c r="C65" s="13"/>
      <c r="D65" s="19"/>
      <c r="E65" s="782"/>
      <c r="F65" s="798"/>
      <c r="G65" s="799"/>
      <c r="H65" s="800"/>
      <c r="I65" s="702" t="s">
        <v>538</v>
      </c>
      <c r="J65" s="14"/>
      <c r="K65" s="805"/>
      <c r="L65" s="805"/>
      <c r="M65" s="805"/>
      <c r="N65" s="779"/>
      <c r="O65" s="779"/>
      <c r="P65" s="779"/>
      <c r="Q65" s="779"/>
      <c r="R65" s="791"/>
      <c r="S65" s="78"/>
      <c r="T65" s="110"/>
      <c r="U65" s="31"/>
      <c r="V65" s="14"/>
    </row>
    <row r="66" spans="3:22" x14ac:dyDescent="0.2">
      <c r="C66" s="13"/>
      <c r="D66" s="19"/>
      <c r="E66" s="794"/>
      <c r="F66" s="801"/>
      <c r="G66" s="802"/>
      <c r="H66" s="803"/>
      <c r="I66" s="703"/>
      <c r="J66" s="14"/>
      <c r="K66" s="806"/>
      <c r="L66" s="806"/>
      <c r="M66" s="806"/>
      <c r="N66" s="780"/>
      <c r="O66" s="780"/>
      <c r="P66" s="780"/>
      <c r="Q66" s="780"/>
      <c r="R66" s="807"/>
      <c r="S66" s="122" t="s">
        <v>87</v>
      </c>
      <c r="T66" s="123">
        <f>SUM(T62:T65)</f>
        <v>186000</v>
      </c>
      <c r="U66" s="31"/>
      <c r="V66" s="14"/>
    </row>
    <row r="67" spans="3:22" x14ac:dyDescent="0.2">
      <c r="C67" s="13"/>
      <c r="D67" s="19">
        <f>D62+1</f>
        <v>12</v>
      </c>
      <c r="E67" s="793" t="str">
        <f>'[4]ESC Cap Wks'!$A$112</f>
        <v>Destination Queenscliffe Stage 1</v>
      </c>
      <c r="F67" s="795" t="s">
        <v>539</v>
      </c>
      <c r="G67" s="796"/>
      <c r="H67" s="797"/>
      <c r="I67" s="702" t="s">
        <v>519</v>
      </c>
      <c r="J67" s="14"/>
      <c r="K67" s="804">
        <v>0</v>
      </c>
      <c r="L67" s="804">
        <v>0</v>
      </c>
      <c r="M67" s="804">
        <v>1</v>
      </c>
      <c r="N67" s="778">
        <f>0.3*GETPIVOTDATA("Sum of 2017/18",'[4]ESC Cap Wks'!$A$3,"ACCOUNT NAME","Destination Queenscliffe Stage 1","Statement of Capital Works - Asset Class","Parks, open space and streetscapes","Statement of Capital Works - N/R/U","60% renewal, 10% upgrade, 30% new")</f>
        <v>104685.3</v>
      </c>
      <c r="O67" s="778">
        <f>0.6*GETPIVOTDATA("Sum of 2017/18",'[4]ESC Cap Wks'!$A$3,"ACCOUNT NAME","Destination Queenscliffe Stage 1","Statement of Capital Works - Asset Class","Parks, open space and streetscapes","Statement of Capital Works - N/R/U","60% renewal, 10% upgrade, 30% new")</f>
        <v>209370.6</v>
      </c>
      <c r="P67" s="778">
        <v>0</v>
      </c>
      <c r="Q67" s="778">
        <f>0.1*GETPIVOTDATA("Sum of 2017/18",'[4]ESC Cap Wks'!$A$3,"ACCOUNT NAME","Destination Queenscliffe Stage 1","Statement of Capital Works - Asset Class","Parks, open space and streetscapes","Statement of Capital Works - N/R/U","60% renewal, 10% upgrade, 30% new")</f>
        <v>34895.1</v>
      </c>
      <c r="R67" s="790">
        <f>SUM(N67:Q71)</f>
        <v>348951</v>
      </c>
      <c r="S67" s="78" t="s">
        <v>108</v>
      </c>
      <c r="T67" s="110">
        <f>'[9]6. Detailed Capital Works'!$G$75*1000</f>
        <v>348951</v>
      </c>
      <c r="U67" s="31"/>
      <c r="V67" s="14"/>
    </row>
    <row r="68" spans="3:22" x14ac:dyDescent="0.2">
      <c r="C68" s="13"/>
      <c r="D68" s="19"/>
      <c r="E68" s="782"/>
      <c r="F68" s="798"/>
      <c r="G68" s="799"/>
      <c r="H68" s="800"/>
      <c r="I68" s="702" t="s">
        <v>516</v>
      </c>
      <c r="J68" s="14"/>
      <c r="K68" s="805"/>
      <c r="L68" s="805"/>
      <c r="M68" s="805"/>
      <c r="N68" s="779"/>
      <c r="O68" s="779"/>
      <c r="P68" s="779"/>
      <c r="Q68" s="779"/>
      <c r="R68" s="791"/>
      <c r="S68" s="78"/>
      <c r="T68" s="110"/>
      <c r="U68" s="31"/>
      <c r="V68" s="14"/>
    </row>
    <row r="69" spans="3:22" x14ac:dyDescent="0.2">
      <c r="C69" s="13"/>
      <c r="D69" s="19"/>
      <c r="E69" s="782"/>
      <c r="F69" s="798"/>
      <c r="G69" s="799"/>
      <c r="H69" s="800"/>
      <c r="I69" s="702" t="s">
        <v>514</v>
      </c>
      <c r="J69" s="14"/>
      <c r="K69" s="805"/>
      <c r="L69" s="805"/>
      <c r="M69" s="805"/>
      <c r="N69" s="779"/>
      <c r="O69" s="779"/>
      <c r="P69" s="779"/>
      <c r="Q69" s="779"/>
      <c r="R69" s="791"/>
      <c r="S69" s="78"/>
      <c r="T69" s="110"/>
      <c r="U69" s="31"/>
      <c r="V69" s="14"/>
    </row>
    <row r="70" spans="3:22" x14ac:dyDescent="0.2">
      <c r="C70" s="13"/>
      <c r="D70" s="19"/>
      <c r="E70" s="782"/>
      <c r="F70" s="798"/>
      <c r="G70" s="799"/>
      <c r="H70" s="800"/>
      <c r="I70" s="702" t="s">
        <v>515</v>
      </c>
      <c r="J70" s="14"/>
      <c r="K70" s="805"/>
      <c r="L70" s="805"/>
      <c r="M70" s="805"/>
      <c r="N70" s="779"/>
      <c r="O70" s="779"/>
      <c r="P70" s="779"/>
      <c r="Q70" s="779"/>
      <c r="R70" s="791"/>
      <c r="S70" s="78"/>
      <c r="T70" s="110"/>
      <c r="U70" s="31"/>
      <c r="V70" s="14"/>
    </row>
    <row r="71" spans="3:22" x14ac:dyDescent="0.2">
      <c r="C71" s="13"/>
      <c r="D71" s="19"/>
      <c r="E71" s="794"/>
      <c r="F71" s="801"/>
      <c r="G71" s="802"/>
      <c r="H71" s="803"/>
      <c r="I71" s="703" t="s">
        <v>533</v>
      </c>
      <c r="J71" s="14"/>
      <c r="K71" s="806"/>
      <c r="L71" s="806"/>
      <c r="M71" s="806"/>
      <c r="N71" s="780"/>
      <c r="O71" s="780"/>
      <c r="P71" s="780"/>
      <c r="Q71" s="780"/>
      <c r="R71" s="807"/>
      <c r="S71" s="122" t="s">
        <v>87</v>
      </c>
      <c r="T71" s="123">
        <f>SUM(T67:T70)</f>
        <v>348951</v>
      </c>
      <c r="U71" s="31"/>
      <c r="V71" s="14"/>
    </row>
    <row r="72" spans="3:22" ht="12.75" customHeight="1" x14ac:dyDescent="0.2">
      <c r="C72" s="13"/>
      <c r="D72" s="19">
        <f>D67+1</f>
        <v>13</v>
      </c>
      <c r="E72" s="781" t="str">
        <f>'[4]ESC Cap Wks'!$A$120</f>
        <v>Point Lonsdale Lighthouse Reserve</v>
      </c>
      <c r="F72" s="795" t="s">
        <v>540</v>
      </c>
      <c r="G72" s="796"/>
      <c r="H72" s="797"/>
      <c r="I72" s="702" t="s">
        <v>516</v>
      </c>
      <c r="J72" s="14"/>
      <c r="K72" s="804">
        <v>0</v>
      </c>
      <c r="L72" s="804">
        <v>0</v>
      </c>
      <c r="M72" s="804">
        <v>1</v>
      </c>
      <c r="N72" s="778">
        <f>GETPIVOTDATA("Sum of 2017/18",'[4]ESC Cap Wks'!$A$3,"ACCOUNT NAME","Point Lonsdale Lighthouse Reserve","Statement of Capital Works - Asset Class","Parks, open space and streetscapes","Statement of Capital Works - N/R/U","New asset expenditure")</f>
        <v>375000</v>
      </c>
      <c r="O72" s="778">
        <v>0</v>
      </c>
      <c r="P72" s="778">
        <v>0</v>
      </c>
      <c r="Q72" s="778">
        <v>0</v>
      </c>
      <c r="R72" s="790">
        <f>SUM(N72:Q76)</f>
        <v>375000</v>
      </c>
      <c r="S72" s="78" t="s">
        <v>108</v>
      </c>
      <c r="T72" s="110">
        <f>'[9]6. Detailed Capital Works'!$G$76*1000</f>
        <v>300000</v>
      </c>
      <c r="U72" s="31"/>
      <c r="V72" s="14"/>
    </row>
    <row r="73" spans="3:22" ht="12.75" customHeight="1" x14ac:dyDescent="0.2">
      <c r="C73" s="13"/>
      <c r="D73" s="19"/>
      <c r="E73" s="782"/>
      <c r="F73" s="798"/>
      <c r="G73" s="799"/>
      <c r="H73" s="800"/>
      <c r="I73" s="702" t="s">
        <v>525</v>
      </c>
      <c r="J73" s="14"/>
      <c r="K73" s="805"/>
      <c r="L73" s="805"/>
      <c r="M73" s="805"/>
      <c r="N73" s="779"/>
      <c r="O73" s="779"/>
      <c r="P73" s="779"/>
      <c r="Q73" s="779"/>
      <c r="R73" s="791"/>
      <c r="S73" s="78" t="s">
        <v>363</v>
      </c>
      <c r="T73" s="110">
        <f>'[9]6. Detailed Capital Works'!$I$76*1000</f>
        <v>75000</v>
      </c>
      <c r="U73" s="31"/>
      <c r="V73" s="14"/>
    </row>
    <row r="74" spans="3:22" ht="12.75" customHeight="1" x14ac:dyDescent="0.2">
      <c r="C74" s="13"/>
      <c r="D74" s="19"/>
      <c r="E74" s="782"/>
      <c r="F74" s="798"/>
      <c r="G74" s="799"/>
      <c r="H74" s="800"/>
      <c r="I74" s="702" t="s">
        <v>514</v>
      </c>
      <c r="J74" s="14"/>
      <c r="K74" s="805"/>
      <c r="L74" s="805"/>
      <c r="M74" s="805"/>
      <c r="N74" s="779"/>
      <c r="O74" s="779"/>
      <c r="P74" s="779"/>
      <c r="Q74" s="779"/>
      <c r="R74" s="791"/>
      <c r="S74" s="78"/>
      <c r="T74" s="110"/>
      <c r="U74" s="31"/>
      <c r="V74" s="14"/>
    </row>
    <row r="75" spans="3:22" ht="12.75" customHeight="1" x14ac:dyDescent="0.2">
      <c r="C75" s="13"/>
      <c r="D75" s="19"/>
      <c r="E75" s="782"/>
      <c r="F75" s="798"/>
      <c r="G75" s="799"/>
      <c r="H75" s="800"/>
      <c r="I75" s="702" t="s">
        <v>515</v>
      </c>
      <c r="J75" s="14"/>
      <c r="K75" s="805"/>
      <c r="L75" s="805"/>
      <c r="M75" s="805"/>
      <c r="N75" s="779"/>
      <c r="O75" s="779"/>
      <c r="P75" s="779"/>
      <c r="Q75" s="779"/>
      <c r="R75" s="791"/>
      <c r="S75" s="78"/>
      <c r="T75" s="110"/>
      <c r="U75" s="31"/>
      <c r="V75" s="14"/>
    </row>
    <row r="76" spans="3:22" ht="12.75" customHeight="1" x14ac:dyDescent="0.2">
      <c r="C76" s="13"/>
      <c r="D76" s="19"/>
      <c r="E76" s="794"/>
      <c r="F76" s="801"/>
      <c r="G76" s="802"/>
      <c r="H76" s="803"/>
      <c r="I76" s="703"/>
      <c r="J76" s="14"/>
      <c r="K76" s="806"/>
      <c r="L76" s="806"/>
      <c r="M76" s="806"/>
      <c r="N76" s="780"/>
      <c r="O76" s="780"/>
      <c r="P76" s="780"/>
      <c r="Q76" s="780"/>
      <c r="R76" s="807"/>
      <c r="S76" s="122" t="s">
        <v>87</v>
      </c>
      <c r="T76" s="123">
        <f>SUM(T72:T75)</f>
        <v>375000</v>
      </c>
      <c r="U76" s="31"/>
      <c r="V76" s="14"/>
    </row>
    <row r="77" spans="3:22" ht="12" customHeight="1" x14ac:dyDescent="0.2">
      <c r="C77" s="13"/>
      <c r="D77" s="19">
        <f>D72+1</f>
        <v>14</v>
      </c>
      <c r="E77" s="781" t="str">
        <f>'[4]ESC Cap Wks'!$A$123</f>
        <v>Queenscliff Park Stage 1 Improvements</v>
      </c>
      <c r="F77" s="795" t="s">
        <v>541</v>
      </c>
      <c r="G77" s="796"/>
      <c r="H77" s="797"/>
      <c r="I77" s="702" t="s">
        <v>516</v>
      </c>
      <c r="J77" s="14"/>
      <c r="K77" s="804">
        <v>0</v>
      </c>
      <c r="L77" s="804">
        <v>0</v>
      </c>
      <c r="M77" s="804">
        <v>1</v>
      </c>
      <c r="N77" s="778">
        <f>GETPIVOTDATA("Sum of 2017/18",'[4]ESC Cap Wks'!$A$3,"ACCOUNT NAME","Queenscliff Park Stage 1 Improvements","Statement of Capital Works - Asset Class","Parks, open space and streetscapes","Statement of Capital Works - N/R/U","New asset expenditure")</f>
        <v>179765</v>
      </c>
      <c r="O77" s="778">
        <v>0</v>
      </c>
      <c r="P77" s="778">
        <v>0</v>
      </c>
      <c r="Q77" s="778">
        <v>0</v>
      </c>
      <c r="R77" s="790">
        <f>SUM(N77:Q81)</f>
        <v>179765</v>
      </c>
      <c r="S77" s="78" t="s">
        <v>111</v>
      </c>
      <c r="T77" s="110">
        <f>'[9]6. Detailed Capital Works'!$J$136*1000</f>
        <v>179765</v>
      </c>
      <c r="U77" s="31"/>
      <c r="V77" s="14"/>
    </row>
    <row r="78" spans="3:22" ht="12" customHeight="1" x14ac:dyDescent="0.2">
      <c r="C78" s="13"/>
      <c r="D78" s="19"/>
      <c r="E78" s="782"/>
      <c r="F78" s="798"/>
      <c r="G78" s="799"/>
      <c r="H78" s="800"/>
      <c r="I78" s="702" t="s">
        <v>515</v>
      </c>
      <c r="J78" s="14"/>
      <c r="K78" s="805"/>
      <c r="L78" s="805"/>
      <c r="M78" s="805"/>
      <c r="N78" s="779"/>
      <c r="O78" s="779"/>
      <c r="P78" s="779"/>
      <c r="Q78" s="779"/>
      <c r="R78" s="791"/>
      <c r="S78" s="78"/>
      <c r="T78" s="110"/>
      <c r="U78" s="31"/>
      <c r="V78" s="14"/>
    </row>
    <row r="79" spans="3:22" ht="12" customHeight="1" x14ac:dyDescent="0.2">
      <c r="C79" s="13"/>
      <c r="D79" s="19"/>
      <c r="E79" s="782"/>
      <c r="F79" s="798"/>
      <c r="G79" s="799"/>
      <c r="H79" s="800"/>
      <c r="I79" s="702" t="s">
        <v>519</v>
      </c>
      <c r="J79" s="14"/>
      <c r="K79" s="805"/>
      <c r="L79" s="805"/>
      <c r="M79" s="805"/>
      <c r="N79" s="779"/>
      <c r="O79" s="779"/>
      <c r="P79" s="779"/>
      <c r="Q79" s="779"/>
      <c r="R79" s="791"/>
      <c r="S79" s="78"/>
      <c r="T79" s="110"/>
      <c r="U79" s="31"/>
      <c r="V79" s="14"/>
    </row>
    <row r="80" spans="3:22" ht="12" customHeight="1" x14ac:dyDescent="0.2">
      <c r="C80" s="13"/>
      <c r="D80" s="19"/>
      <c r="E80" s="782"/>
      <c r="F80" s="798"/>
      <c r="G80" s="799"/>
      <c r="H80" s="800"/>
      <c r="I80" s="702"/>
      <c r="J80" s="14"/>
      <c r="K80" s="805"/>
      <c r="L80" s="805"/>
      <c r="M80" s="805"/>
      <c r="N80" s="779"/>
      <c r="O80" s="779"/>
      <c r="P80" s="779"/>
      <c r="Q80" s="779"/>
      <c r="R80" s="791"/>
      <c r="S80" s="78"/>
      <c r="T80" s="110"/>
      <c r="U80" s="31"/>
      <c r="V80" s="14"/>
    </row>
    <row r="81" spans="3:22" ht="12" customHeight="1" x14ac:dyDescent="0.2">
      <c r="C81" s="13"/>
      <c r="D81" s="19"/>
      <c r="E81" s="794"/>
      <c r="F81" s="801"/>
      <c r="G81" s="802"/>
      <c r="H81" s="803"/>
      <c r="I81" s="703"/>
      <c r="J81" s="14"/>
      <c r="K81" s="806"/>
      <c r="L81" s="806"/>
      <c r="M81" s="806"/>
      <c r="N81" s="780"/>
      <c r="O81" s="780"/>
      <c r="P81" s="780"/>
      <c r="Q81" s="780"/>
      <c r="R81" s="807"/>
      <c r="S81" s="122" t="s">
        <v>87</v>
      </c>
      <c r="T81" s="123">
        <f>SUM(T77:T80)</f>
        <v>179765</v>
      </c>
      <c r="U81" s="31"/>
      <c r="V81" s="14"/>
    </row>
    <row r="82" spans="3:22" x14ac:dyDescent="0.2">
      <c r="C82" s="13"/>
      <c r="D82" s="19">
        <f>D77+1</f>
        <v>15</v>
      </c>
      <c r="E82" s="793" t="str">
        <f>'[4]ESC Cap Wks'!$A$139</f>
        <v>Plan for park to focus on children and families</v>
      </c>
      <c r="F82" s="795" t="s">
        <v>542</v>
      </c>
      <c r="G82" s="796"/>
      <c r="H82" s="797"/>
      <c r="I82" s="702" t="s">
        <v>516</v>
      </c>
      <c r="J82" s="14"/>
      <c r="K82" s="804">
        <v>0</v>
      </c>
      <c r="L82" s="804">
        <v>0</v>
      </c>
      <c r="M82" s="804">
        <v>1</v>
      </c>
      <c r="N82" s="778">
        <v>0</v>
      </c>
      <c r="O82" s="778">
        <v>0</v>
      </c>
      <c r="P82" s="778">
        <v>0</v>
      </c>
      <c r="Q82" s="778">
        <f>GETPIVOTDATA("Sum of 2017/18",'[4]ESC Cap Wks'!$A$3,"ACCOUNT NAME","Plan for park to focus on children and families","Statement of Capital Works - Asset Class","Recreational, leisure and community facilities","Statement of Capital Works - N/R/U","Asset upgrade expenditure")</f>
        <v>40000</v>
      </c>
      <c r="R82" s="790">
        <f>SUM(N82:Q86)</f>
        <v>40000</v>
      </c>
      <c r="S82" s="78" t="s">
        <v>363</v>
      </c>
      <c r="T82" s="110">
        <f>'[9]6. Detailed Capital Works'!$I$67*1000</f>
        <v>40000</v>
      </c>
      <c r="U82" s="31"/>
      <c r="V82" s="14"/>
    </row>
    <row r="83" spans="3:22" x14ac:dyDescent="0.2">
      <c r="C83" s="13"/>
      <c r="D83" s="19"/>
      <c r="E83" s="782"/>
      <c r="F83" s="798"/>
      <c r="G83" s="799"/>
      <c r="H83" s="800"/>
      <c r="I83" s="702" t="s">
        <v>515</v>
      </c>
      <c r="J83" s="14"/>
      <c r="K83" s="805"/>
      <c r="L83" s="805"/>
      <c r="M83" s="805"/>
      <c r="N83" s="779"/>
      <c r="O83" s="779"/>
      <c r="P83" s="779"/>
      <c r="Q83" s="779"/>
      <c r="R83" s="791"/>
      <c r="S83" s="78"/>
      <c r="T83" s="110"/>
      <c r="U83" s="31"/>
      <c r="V83" s="14"/>
    </row>
    <row r="84" spans="3:22" x14ac:dyDescent="0.2">
      <c r="C84" s="13"/>
      <c r="D84" s="19"/>
      <c r="E84" s="782"/>
      <c r="F84" s="798"/>
      <c r="G84" s="799"/>
      <c r="H84" s="800"/>
      <c r="I84" s="702" t="s">
        <v>519</v>
      </c>
      <c r="J84" s="14"/>
      <c r="K84" s="805"/>
      <c r="L84" s="805"/>
      <c r="M84" s="805"/>
      <c r="N84" s="779"/>
      <c r="O84" s="779"/>
      <c r="P84" s="779"/>
      <c r="Q84" s="779"/>
      <c r="R84" s="791"/>
      <c r="S84" s="78"/>
      <c r="T84" s="110"/>
      <c r="U84" s="31"/>
      <c r="V84" s="14"/>
    </row>
    <row r="85" spans="3:22" x14ac:dyDescent="0.2">
      <c r="C85" s="13"/>
      <c r="D85" s="19"/>
      <c r="E85" s="782"/>
      <c r="F85" s="798"/>
      <c r="G85" s="799"/>
      <c r="H85" s="800"/>
      <c r="I85" s="702"/>
      <c r="J85" s="14"/>
      <c r="K85" s="805"/>
      <c r="L85" s="805"/>
      <c r="M85" s="805"/>
      <c r="N85" s="779"/>
      <c r="O85" s="779"/>
      <c r="P85" s="779"/>
      <c r="Q85" s="779"/>
      <c r="R85" s="791"/>
      <c r="S85" s="78"/>
      <c r="T85" s="110"/>
      <c r="U85" s="31"/>
      <c r="V85" s="14"/>
    </row>
    <row r="86" spans="3:22" x14ac:dyDescent="0.2">
      <c r="C86" s="13"/>
      <c r="D86" s="19"/>
      <c r="E86" s="794"/>
      <c r="F86" s="801"/>
      <c r="G86" s="802"/>
      <c r="H86" s="803"/>
      <c r="I86" s="703"/>
      <c r="J86" s="14"/>
      <c r="K86" s="806"/>
      <c r="L86" s="806"/>
      <c r="M86" s="806"/>
      <c r="N86" s="780"/>
      <c r="O86" s="780"/>
      <c r="P86" s="780"/>
      <c r="Q86" s="780"/>
      <c r="R86" s="807"/>
      <c r="S86" s="122" t="s">
        <v>87</v>
      </c>
      <c r="T86" s="123">
        <f>SUM(T82:T85)</f>
        <v>40000</v>
      </c>
      <c r="U86" s="31"/>
      <c r="V86" s="14"/>
    </row>
    <row r="87" spans="3:22" x14ac:dyDescent="0.2">
      <c r="C87" s="13"/>
      <c r="D87" s="19">
        <f>D82+1</f>
        <v>16</v>
      </c>
      <c r="E87" s="793" t="str">
        <f>'[4]ESC Cap Wks'!$A$154</f>
        <v>Replace Kerb &amp; Channel in Hobson Street</v>
      </c>
      <c r="F87" s="795" t="s">
        <v>543</v>
      </c>
      <c r="G87" s="796"/>
      <c r="H87" s="797"/>
      <c r="I87" s="702" t="s">
        <v>514</v>
      </c>
      <c r="J87" s="14"/>
      <c r="K87" s="804">
        <v>0</v>
      </c>
      <c r="L87" s="804">
        <v>0</v>
      </c>
      <c r="M87" s="804">
        <v>1</v>
      </c>
      <c r="N87" s="778">
        <v>0</v>
      </c>
      <c r="O87" s="778">
        <f>GETPIVOTDATA("Sum of 2017/18",'[4]ESC Cap Wks'!$A$3,"ACCOUNT NAME","Replace Kerb &amp; Channel in Hobson Street","Statement of Capital Works - Asset Class","Roads","Statement of Capital Works - N/R/U","Asset renewal expenditure")</f>
        <v>5000</v>
      </c>
      <c r="P87" s="778">
        <v>0</v>
      </c>
      <c r="Q87" s="778">
        <v>0</v>
      </c>
      <c r="R87" s="790">
        <f>SUM(N87:Q91)</f>
        <v>5000</v>
      </c>
      <c r="S87" s="78" t="s">
        <v>111</v>
      </c>
      <c r="T87" s="110">
        <f>'[9]6. Detailed Capital Works'!$J$47*1000</f>
        <v>5000</v>
      </c>
      <c r="U87" s="31"/>
      <c r="V87" s="14"/>
    </row>
    <row r="88" spans="3:22" x14ac:dyDescent="0.2">
      <c r="C88" s="13"/>
      <c r="D88" s="19"/>
      <c r="E88" s="782"/>
      <c r="F88" s="798"/>
      <c r="G88" s="799"/>
      <c r="H88" s="800"/>
      <c r="I88" s="702"/>
      <c r="J88" s="14"/>
      <c r="K88" s="805"/>
      <c r="L88" s="805"/>
      <c r="M88" s="805"/>
      <c r="N88" s="779"/>
      <c r="O88" s="779"/>
      <c r="P88" s="779"/>
      <c r="Q88" s="779"/>
      <c r="R88" s="791"/>
      <c r="S88" s="78"/>
      <c r="T88" s="110"/>
      <c r="U88" s="31"/>
      <c r="V88" s="14"/>
    </row>
    <row r="89" spans="3:22" x14ac:dyDescent="0.2">
      <c r="C89" s="13"/>
      <c r="D89" s="19"/>
      <c r="E89" s="782"/>
      <c r="F89" s="798"/>
      <c r="G89" s="799"/>
      <c r="H89" s="800"/>
      <c r="I89" s="702"/>
      <c r="J89" s="14"/>
      <c r="K89" s="805"/>
      <c r="L89" s="805"/>
      <c r="M89" s="805"/>
      <c r="N89" s="779"/>
      <c r="O89" s="779"/>
      <c r="P89" s="779"/>
      <c r="Q89" s="779"/>
      <c r="R89" s="791"/>
      <c r="S89" s="78"/>
      <c r="T89" s="110"/>
      <c r="U89" s="31"/>
      <c r="V89" s="14"/>
    </row>
    <row r="90" spans="3:22" x14ac:dyDescent="0.2">
      <c r="C90" s="13"/>
      <c r="D90" s="19"/>
      <c r="E90" s="782"/>
      <c r="F90" s="798"/>
      <c r="G90" s="799"/>
      <c r="H90" s="800"/>
      <c r="I90" s="702"/>
      <c r="J90" s="14"/>
      <c r="K90" s="805"/>
      <c r="L90" s="805"/>
      <c r="M90" s="805"/>
      <c r="N90" s="779"/>
      <c r="O90" s="779"/>
      <c r="P90" s="779"/>
      <c r="Q90" s="779"/>
      <c r="R90" s="791"/>
      <c r="S90" s="78"/>
      <c r="T90" s="110"/>
      <c r="U90" s="31"/>
      <c r="V90" s="14"/>
    </row>
    <row r="91" spans="3:22" x14ac:dyDescent="0.2">
      <c r="C91" s="13"/>
      <c r="D91" s="19"/>
      <c r="E91" s="794"/>
      <c r="F91" s="801"/>
      <c r="G91" s="802"/>
      <c r="H91" s="803"/>
      <c r="I91" s="703"/>
      <c r="J91" s="14"/>
      <c r="K91" s="806"/>
      <c r="L91" s="806"/>
      <c r="M91" s="806"/>
      <c r="N91" s="780"/>
      <c r="O91" s="780"/>
      <c r="P91" s="780"/>
      <c r="Q91" s="780"/>
      <c r="R91" s="807"/>
      <c r="S91" s="122" t="s">
        <v>87</v>
      </c>
      <c r="T91" s="123">
        <f>SUM(T87:T90)</f>
        <v>5000</v>
      </c>
      <c r="U91" s="31"/>
      <c r="V91" s="14"/>
    </row>
    <row r="92" spans="3:22" x14ac:dyDescent="0.2">
      <c r="C92" s="13"/>
      <c r="D92" s="19">
        <f>D87+1</f>
        <v>17</v>
      </c>
      <c r="E92" s="793" t="str">
        <f>'[4]ESC Cap Wks'!$A$156</f>
        <v>Hesse Street Streetscape</v>
      </c>
      <c r="F92" s="795" t="s">
        <v>544</v>
      </c>
      <c r="G92" s="796"/>
      <c r="H92" s="797"/>
      <c r="I92" s="702" t="s">
        <v>519</v>
      </c>
      <c r="J92" s="14"/>
      <c r="K92" s="804">
        <v>0</v>
      </c>
      <c r="L92" s="804">
        <v>0</v>
      </c>
      <c r="M92" s="804">
        <v>1</v>
      </c>
      <c r="N92" s="778">
        <v>0</v>
      </c>
      <c r="O92" s="778">
        <v>0</v>
      </c>
      <c r="P92" s="778">
        <v>0</v>
      </c>
      <c r="Q92" s="778">
        <f>GETPIVOTDATA("Sum of 2017/18",'[4]ESC Cap Wks'!$A$3,"ACCOUNT NAME","Hesse Street Streetscape","Statement of Capital Works - Asset Class","Roads","Statement of Capital Works - N/R/U","Asset upgrade expenditure")</f>
        <v>40000</v>
      </c>
      <c r="R92" s="790">
        <f>SUM(N92:Q96)</f>
        <v>40000</v>
      </c>
      <c r="S92" s="78" t="s">
        <v>363</v>
      </c>
      <c r="T92" s="110">
        <f>'[9]6. Detailed Capital Works'!$I$45*1000</f>
        <v>40000</v>
      </c>
      <c r="U92" s="31"/>
      <c r="V92" s="14"/>
    </row>
    <row r="93" spans="3:22" x14ac:dyDescent="0.2">
      <c r="C93" s="13"/>
      <c r="D93" s="19"/>
      <c r="E93" s="782"/>
      <c r="F93" s="798"/>
      <c r="G93" s="799"/>
      <c r="H93" s="800"/>
      <c r="I93" s="702" t="s">
        <v>514</v>
      </c>
      <c r="J93" s="14"/>
      <c r="K93" s="805"/>
      <c r="L93" s="805"/>
      <c r="M93" s="805"/>
      <c r="N93" s="779"/>
      <c r="O93" s="779"/>
      <c r="P93" s="779"/>
      <c r="Q93" s="779"/>
      <c r="R93" s="791"/>
      <c r="S93" s="78"/>
      <c r="T93" s="110"/>
      <c r="U93" s="31"/>
      <c r="V93" s="14"/>
    </row>
    <row r="94" spans="3:22" x14ac:dyDescent="0.2">
      <c r="C94" s="13"/>
      <c r="D94" s="19"/>
      <c r="E94" s="782"/>
      <c r="F94" s="798"/>
      <c r="G94" s="799"/>
      <c r="H94" s="800"/>
      <c r="I94" s="702" t="s">
        <v>515</v>
      </c>
      <c r="J94" s="14"/>
      <c r="K94" s="805"/>
      <c r="L94" s="805"/>
      <c r="M94" s="805"/>
      <c r="N94" s="779"/>
      <c r="O94" s="779"/>
      <c r="P94" s="779"/>
      <c r="Q94" s="779"/>
      <c r="R94" s="791"/>
      <c r="S94" s="78"/>
      <c r="T94" s="110"/>
      <c r="U94" s="31"/>
      <c r="V94" s="14"/>
    </row>
    <row r="95" spans="3:22" x14ac:dyDescent="0.2">
      <c r="C95" s="13"/>
      <c r="D95" s="19"/>
      <c r="E95" s="782"/>
      <c r="F95" s="798"/>
      <c r="G95" s="799"/>
      <c r="H95" s="800"/>
      <c r="I95" s="702"/>
      <c r="J95" s="14"/>
      <c r="K95" s="805"/>
      <c r="L95" s="805"/>
      <c r="M95" s="805"/>
      <c r="N95" s="779"/>
      <c r="O95" s="779"/>
      <c r="P95" s="779"/>
      <c r="Q95" s="779"/>
      <c r="R95" s="791"/>
      <c r="S95" s="78"/>
      <c r="T95" s="110"/>
      <c r="U95" s="31"/>
      <c r="V95" s="14"/>
    </row>
    <row r="96" spans="3:22" x14ac:dyDescent="0.2">
      <c r="C96" s="13"/>
      <c r="D96" s="19"/>
      <c r="E96" s="794"/>
      <c r="F96" s="801"/>
      <c r="G96" s="802"/>
      <c r="H96" s="803"/>
      <c r="I96" s="703"/>
      <c r="J96" s="14"/>
      <c r="K96" s="806"/>
      <c r="L96" s="806"/>
      <c r="M96" s="806"/>
      <c r="N96" s="780"/>
      <c r="O96" s="780"/>
      <c r="P96" s="780"/>
      <c r="Q96" s="780"/>
      <c r="R96" s="807"/>
      <c r="S96" s="122" t="s">
        <v>87</v>
      </c>
      <c r="T96" s="123">
        <f>SUM(T92:T95)</f>
        <v>40000</v>
      </c>
      <c r="U96" s="31"/>
      <c r="V96" s="14"/>
    </row>
    <row r="97" spans="3:22" ht="12" customHeight="1" x14ac:dyDescent="0.2">
      <c r="C97" s="13"/>
      <c r="D97" s="19">
        <f>D92+1</f>
        <v>18</v>
      </c>
      <c r="E97" s="793" t="s">
        <v>504</v>
      </c>
      <c r="F97" s="795" t="s">
        <v>546</v>
      </c>
      <c r="G97" s="796"/>
      <c r="H97" s="797"/>
      <c r="I97" s="702" t="s">
        <v>514</v>
      </c>
      <c r="J97" s="14"/>
      <c r="K97" s="804">
        <v>1</v>
      </c>
      <c r="L97" s="804">
        <v>0</v>
      </c>
      <c r="M97" s="804">
        <v>0</v>
      </c>
      <c r="N97" s="778">
        <v>0</v>
      </c>
      <c r="O97" s="778">
        <f>SUM('[4]ESC Cap Wks'!$C$33:$C$36)</f>
        <v>215910.83000000002</v>
      </c>
      <c r="P97" s="778">
        <v>0</v>
      </c>
      <c r="Q97" s="778">
        <v>0</v>
      </c>
      <c r="R97" s="790">
        <f>SUM(N97:Q101)</f>
        <v>215910.83000000002</v>
      </c>
      <c r="S97" s="78" t="s">
        <v>363</v>
      </c>
      <c r="T97" s="110">
        <f>SUM('[9]6. Detailed Capital Works'!$I$9:$I$12)*1000</f>
        <v>75000</v>
      </c>
      <c r="U97" s="31"/>
      <c r="V97" s="14"/>
    </row>
    <row r="98" spans="3:22" ht="12" customHeight="1" x14ac:dyDescent="0.2">
      <c r="C98" s="13"/>
      <c r="D98" s="19"/>
      <c r="E98" s="782"/>
      <c r="F98" s="798"/>
      <c r="G98" s="799"/>
      <c r="H98" s="800"/>
      <c r="I98" s="702"/>
      <c r="J98" s="14"/>
      <c r="K98" s="805"/>
      <c r="L98" s="805"/>
      <c r="M98" s="805"/>
      <c r="N98" s="779"/>
      <c r="O98" s="779"/>
      <c r="P98" s="779"/>
      <c r="Q98" s="779"/>
      <c r="R98" s="791"/>
      <c r="S98" s="78" t="s">
        <v>111</v>
      </c>
      <c r="T98" s="110">
        <f>SUM('[9]6. Detailed Capital Works'!$J$105:$J$108)*1000</f>
        <v>140910.83000000002</v>
      </c>
      <c r="U98" s="31"/>
      <c r="V98" s="14"/>
    </row>
    <row r="99" spans="3:22" ht="12" customHeight="1" x14ac:dyDescent="0.2">
      <c r="C99" s="13"/>
      <c r="D99" s="19"/>
      <c r="E99" s="782"/>
      <c r="F99" s="798"/>
      <c r="G99" s="799"/>
      <c r="H99" s="800"/>
      <c r="I99" s="702"/>
      <c r="J99" s="14"/>
      <c r="K99" s="805"/>
      <c r="L99" s="805"/>
      <c r="M99" s="805"/>
      <c r="N99" s="779"/>
      <c r="O99" s="779"/>
      <c r="P99" s="779"/>
      <c r="Q99" s="779"/>
      <c r="R99" s="791"/>
      <c r="S99" s="78"/>
      <c r="T99" s="110"/>
      <c r="U99" s="31"/>
      <c r="V99" s="14"/>
    </row>
    <row r="100" spans="3:22" ht="12" customHeight="1" x14ac:dyDescent="0.2">
      <c r="C100" s="13"/>
      <c r="D100" s="19"/>
      <c r="E100" s="782"/>
      <c r="F100" s="798"/>
      <c r="G100" s="799"/>
      <c r="H100" s="800"/>
      <c r="I100" s="702"/>
      <c r="J100" s="14"/>
      <c r="K100" s="805"/>
      <c r="L100" s="805"/>
      <c r="M100" s="805"/>
      <c r="N100" s="779"/>
      <c r="O100" s="779"/>
      <c r="P100" s="779"/>
      <c r="Q100" s="779"/>
      <c r="R100" s="791"/>
      <c r="S100" s="78"/>
      <c r="T100" s="110"/>
      <c r="U100" s="31"/>
      <c r="V100" s="14"/>
    </row>
    <row r="101" spans="3:22" ht="12" customHeight="1" x14ac:dyDescent="0.2">
      <c r="C101" s="13"/>
      <c r="D101" s="19"/>
      <c r="E101" s="794"/>
      <c r="F101" s="801"/>
      <c r="G101" s="802"/>
      <c r="H101" s="803"/>
      <c r="I101" s="703"/>
      <c r="J101" s="14"/>
      <c r="K101" s="806"/>
      <c r="L101" s="806"/>
      <c r="M101" s="806"/>
      <c r="N101" s="780"/>
      <c r="O101" s="780"/>
      <c r="P101" s="780"/>
      <c r="Q101" s="780"/>
      <c r="R101" s="807"/>
      <c r="S101" s="122" t="s">
        <v>87</v>
      </c>
      <c r="T101" s="123">
        <f>SUM(T97:T100)</f>
        <v>215910.83000000002</v>
      </c>
      <c r="U101" s="31"/>
      <c r="V101" s="14"/>
    </row>
    <row r="102" spans="3:22" x14ac:dyDescent="0.2">
      <c r="C102" s="13"/>
      <c r="D102" s="19">
        <f>D97+1</f>
        <v>19</v>
      </c>
      <c r="E102" s="793" t="s">
        <v>505</v>
      </c>
      <c r="F102" s="795" t="s">
        <v>547</v>
      </c>
      <c r="G102" s="796"/>
      <c r="H102" s="797"/>
      <c r="I102" s="702" t="s">
        <v>514</v>
      </c>
      <c r="J102" s="14"/>
      <c r="K102" s="804">
        <v>0</v>
      </c>
      <c r="L102" s="804">
        <v>1</v>
      </c>
      <c r="M102" s="804">
        <v>0</v>
      </c>
      <c r="N102" s="778">
        <v>0</v>
      </c>
      <c r="O102" s="778">
        <f>GETPIVOTDATA("Sum of 2017/18",'[4]ESC Cap Wks'!$A$3,"ACCOUNT NAME","Annual Renewal Program - Renewal Other Assets - Renewal computer and telephone equipment","Statement of Capital Works - Asset Class","Computers and telecommunications","Statement of Capital Works - N/R/U","Asset renewal expenditure")</f>
        <v>30000</v>
      </c>
      <c r="P102" s="778">
        <v>0</v>
      </c>
      <c r="Q102" s="778">
        <v>0</v>
      </c>
      <c r="R102" s="790">
        <f>SUM(N102:Q106)</f>
        <v>30000</v>
      </c>
      <c r="S102" s="78" t="s">
        <v>363</v>
      </c>
      <c r="T102" s="110">
        <f>'[9]6. Detailed Capital Works'!$I$34*1000</f>
        <v>30000</v>
      </c>
      <c r="U102" s="31"/>
      <c r="V102" s="14"/>
    </row>
    <row r="103" spans="3:22" x14ac:dyDescent="0.2">
      <c r="C103" s="13"/>
      <c r="D103" s="19"/>
      <c r="E103" s="782"/>
      <c r="F103" s="798"/>
      <c r="G103" s="799"/>
      <c r="H103" s="800"/>
      <c r="I103" s="702"/>
      <c r="J103" s="14"/>
      <c r="K103" s="805"/>
      <c r="L103" s="805"/>
      <c r="M103" s="805"/>
      <c r="N103" s="779"/>
      <c r="O103" s="779"/>
      <c r="P103" s="779"/>
      <c r="Q103" s="779"/>
      <c r="R103" s="791"/>
      <c r="S103" s="78"/>
      <c r="T103" s="110"/>
      <c r="U103" s="31"/>
      <c r="V103" s="14"/>
    </row>
    <row r="104" spans="3:22" x14ac:dyDescent="0.2">
      <c r="C104" s="13"/>
      <c r="D104" s="19"/>
      <c r="E104" s="782"/>
      <c r="F104" s="798"/>
      <c r="G104" s="799"/>
      <c r="H104" s="800"/>
      <c r="I104" s="702"/>
      <c r="J104" s="14"/>
      <c r="K104" s="805"/>
      <c r="L104" s="805"/>
      <c r="M104" s="805"/>
      <c r="N104" s="779"/>
      <c r="O104" s="779"/>
      <c r="P104" s="779"/>
      <c r="Q104" s="779"/>
      <c r="R104" s="791"/>
      <c r="S104" s="78"/>
      <c r="T104" s="110"/>
      <c r="U104" s="31"/>
      <c r="V104" s="14"/>
    </row>
    <row r="105" spans="3:22" x14ac:dyDescent="0.2">
      <c r="C105" s="13"/>
      <c r="D105" s="19"/>
      <c r="E105" s="782"/>
      <c r="F105" s="798"/>
      <c r="G105" s="799"/>
      <c r="H105" s="800"/>
      <c r="I105" s="702"/>
      <c r="J105" s="14"/>
      <c r="K105" s="805"/>
      <c r="L105" s="805"/>
      <c r="M105" s="805"/>
      <c r="N105" s="779"/>
      <c r="O105" s="779"/>
      <c r="P105" s="779"/>
      <c r="Q105" s="779"/>
      <c r="R105" s="791"/>
      <c r="S105" s="78"/>
      <c r="T105" s="110"/>
      <c r="U105" s="31"/>
      <c r="V105" s="14"/>
    </row>
    <row r="106" spans="3:22" x14ac:dyDescent="0.2">
      <c r="C106" s="13"/>
      <c r="D106" s="19"/>
      <c r="E106" s="794"/>
      <c r="F106" s="801"/>
      <c r="G106" s="802"/>
      <c r="H106" s="803"/>
      <c r="I106" s="703"/>
      <c r="J106" s="14"/>
      <c r="K106" s="806"/>
      <c r="L106" s="806"/>
      <c r="M106" s="806"/>
      <c r="N106" s="780"/>
      <c r="O106" s="780"/>
      <c r="P106" s="780"/>
      <c r="Q106" s="780"/>
      <c r="R106" s="807"/>
      <c r="S106" s="122" t="s">
        <v>87</v>
      </c>
      <c r="T106" s="123">
        <f>SUM(T102:T105)</f>
        <v>30000</v>
      </c>
      <c r="U106" s="31"/>
      <c r="V106" s="14"/>
    </row>
    <row r="107" spans="3:22" x14ac:dyDescent="0.2">
      <c r="C107" s="13"/>
      <c r="D107" s="19">
        <f>D102+1</f>
        <v>20</v>
      </c>
      <c r="E107" s="793" t="s">
        <v>506</v>
      </c>
      <c r="F107" s="795" t="s">
        <v>548</v>
      </c>
      <c r="G107" s="796"/>
      <c r="H107" s="797"/>
      <c r="I107" s="702" t="s">
        <v>514</v>
      </c>
      <c r="J107" s="14"/>
      <c r="K107" s="804">
        <v>0</v>
      </c>
      <c r="L107" s="804">
        <v>0</v>
      </c>
      <c r="M107" s="804">
        <v>1</v>
      </c>
      <c r="N107" s="778">
        <v>0</v>
      </c>
      <c r="O107" s="778">
        <f>GETPIVOTDATA("Sum of 2017/18",'[4]ESC Cap Wks'!$A$3,"ACCOUNT NAME","Annual Renewal Program - Renewal Infrastructure - Renewal Drainage","Statement of Capital Works - Asset Class","Drainage","Statement of Capital Works - N/R/U","Asset renewal expenditure")</f>
        <v>50700</v>
      </c>
      <c r="P107" s="778">
        <v>0</v>
      </c>
      <c r="Q107" s="778">
        <v>0</v>
      </c>
      <c r="R107" s="790">
        <f>SUM(N107:Q111)</f>
        <v>50700</v>
      </c>
      <c r="S107" s="78" t="s">
        <v>363</v>
      </c>
      <c r="T107" s="110">
        <f>'[9]6. Detailed Capital Works'!$I$57*1000</f>
        <v>35000</v>
      </c>
      <c r="U107" s="31"/>
      <c r="V107" s="14"/>
    </row>
    <row r="108" spans="3:22" x14ac:dyDescent="0.2">
      <c r="C108" s="13"/>
      <c r="D108" s="19"/>
      <c r="E108" s="782"/>
      <c r="F108" s="798"/>
      <c r="G108" s="799"/>
      <c r="H108" s="800"/>
      <c r="I108" s="702"/>
      <c r="J108" s="14"/>
      <c r="K108" s="805"/>
      <c r="L108" s="805"/>
      <c r="M108" s="805"/>
      <c r="N108" s="779"/>
      <c r="O108" s="779"/>
      <c r="P108" s="779"/>
      <c r="Q108" s="779"/>
      <c r="R108" s="791"/>
      <c r="S108" s="78" t="s">
        <v>111</v>
      </c>
      <c r="T108" s="110">
        <f>'[9]6. Detailed Capital Works'!$J$126*1000</f>
        <v>15700</v>
      </c>
      <c r="U108" s="31"/>
      <c r="V108" s="14"/>
    </row>
    <row r="109" spans="3:22" x14ac:dyDescent="0.2">
      <c r="C109" s="13"/>
      <c r="D109" s="19"/>
      <c r="E109" s="782"/>
      <c r="F109" s="798"/>
      <c r="G109" s="799"/>
      <c r="H109" s="800"/>
      <c r="I109" s="702"/>
      <c r="J109" s="14"/>
      <c r="K109" s="805"/>
      <c r="L109" s="805"/>
      <c r="M109" s="805"/>
      <c r="N109" s="779"/>
      <c r="O109" s="779"/>
      <c r="P109" s="779"/>
      <c r="Q109" s="779"/>
      <c r="R109" s="791"/>
      <c r="S109" s="78"/>
      <c r="T109" s="110"/>
      <c r="U109" s="31"/>
      <c r="V109" s="14"/>
    </row>
    <row r="110" spans="3:22" x14ac:dyDescent="0.2">
      <c r="C110" s="13"/>
      <c r="D110" s="19"/>
      <c r="E110" s="782"/>
      <c r="F110" s="798"/>
      <c r="G110" s="799"/>
      <c r="H110" s="800"/>
      <c r="I110" s="702"/>
      <c r="J110" s="14"/>
      <c r="K110" s="805"/>
      <c r="L110" s="805"/>
      <c r="M110" s="805"/>
      <c r="N110" s="779"/>
      <c r="O110" s="779"/>
      <c r="P110" s="779"/>
      <c r="Q110" s="779"/>
      <c r="R110" s="791"/>
      <c r="S110" s="78"/>
      <c r="T110" s="110"/>
      <c r="U110" s="31"/>
      <c r="V110" s="14"/>
    </row>
    <row r="111" spans="3:22" x14ac:dyDescent="0.2">
      <c r="C111" s="13"/>
      <c r="D111" s="19"/>
      <c r="E111" s="794"/>
      <c r="F111" s="801"/>
      <c r="G111" s="802"/>
      <c r="H111" s="803"/>
      <c r="I111" s="703"/>
      <c r="J111" s="14"/>
      <c r="K111" s="806"/>
      <c r="L111" s="806"/>
      <c r="M111" s="806"/>
      <c r="N111" s="780"/>
      <c r="O111" s="780"/>
      <c r="P111" s="780"/>
      <c r="Q111" s="780"/>
      <c r="R111" s="807"/>
      <c r="S111" s="122" t="s">
        <v>87</v>
      </c>
      <c r="T111" s="123">
        <f>SUM(T107:T110)</f>
        <v>50700</v>
      </c>
      <c r="U111" s="31"/>
      <c r="V111" s="14"/>
    </row>
    <row r="112" spans="3:22" ht="12" customHeight="1" x14ac:dyDescent="0.2">
      <c r="C112" s="13"/>
      <c r="D112" s="19">
        <f>D107+1</f>
        <v>21</v>
      </c>
      <c r="E112" s="793" t="s">
        <v>507</v>
      </c>
      <c r="F112" s="795" t="s">
        <v>549</v>
      </c>
      <c r="G112" s="796"/>
      <c r="H112" s="797"/>
      <c r="I112" s="702" t="s">
        <v>514</v>
      </c>
      <c r="J112" s="14"/>
      <c r="K112" s="804">
        <v>0</v>
      </c>
      <c r="L112" s="804">
        <v>1</v>
      </c>
      <c r="M112" s="804">
        <v>0</v>
      </c>
      <c r="N112" s="778">
        <v>0</v>
      </c>
      <c r="O112" s="778">
        <f>GETPIVOTDATA("Sum of 2017/18",'[4]ESC Cap Wks'!$A$3,"ACCOUNT NAME","Annual Renewal Program - Renewal Other Assets - Renewal fixtures and fittings","Statement of Capital Works - Asset Class","Fixtures, fittings and furniture","Statement of Capital Works - N/R/U","Asset renewal expenditure")</f>
        <v>5000</v>
      </c>
      <c r="P112" s="778">
        <v>0</v>
      </c>
      <c r="Q112" s="778">
        <v>0</v>
      </c>
      <c r="R112" s="790">
        <f>SUM(N112:Q116)</f>
        <v>5000</v>
      </c>
      <c r="S112" s="78" t="s">
        <v>363</v>
      </c>
      <c r="T112" s="110">
        <f>'[9]6. Detailed Capital Works'!$I$30*1000</f>
        <v>5000</v>
      </c>
      <c r="U112" s="31"/>
      <c r="V112" s="14"/>
    </row>
    <row r="113" spans="3:22" ht="12" customHeight="1" x14ac:dyDescent="0.2">
      <c r="C113" s="13"/>
      <c r="D113" s="19"/>
      <c r="E113" s="782"/>
      <c r="F113" s="798"/>
      <c r="G113" s="799"/>
      <c r="H113" s="800"/>
      <c r="I113" s="702"/>
      <c r="J113" s="14"/>
      <c r="K113" s="805"/>
      <c r="L113" s="805"/>
      <c r="M113" s="805"/>
      <c r="N113" s="779"/>
      <c r="O113" s="779"/>
      <c r="P113" s="779"/>
      <c r="Q113" s="779"/>
      <c r="R113" s="791"/>
      <c r="S113" s="78"/>
      <c r="T113" s="110"/>
      <c r="U113" s="31"/>
      <c r="V113" s="14"/>
    </row>
    <row r="114" spans="3:22" ht="12" customHeight="1" x14ac:dyDescent="0.2">
      <c r="C114" s="13"/>
      <c r="D114" s="19"/>
      <c r="E114" s="782"/>
      <c r="F114" s="798"/>
      <c r="G114" s="799"/>
      <c r="H114" s="800"/>
      <c r="I114" s="702"/>
      <c r="J114" s="14"/>
      <c r="K114" s="805"/>
      <c r="L114" s="805"/>
      <c r="M114" s="805"/>
      <c r="N114" s="779"/>
      <c r="O114" s="779"/>
      <c r="P114" s="779"/>
      <c r="Q114" s="779"/>
      <c r="R114" s="791"/>
      <c r="S114" s="78"/>
      <c r="T114" s="110"/>
      <c r="U114" s="31"/>
      <c r="V114" s="14"/>
    </row>
    <row r="115" spans="3:22" ht="12" customHeight="1" x14ac:dyDescent="0.2">
      <c r="C115" s="13"/>
      <c r="D115" s="19"/>
      <c r="E115" s="782"/>
      <c r="F115" s="798"/>
      <c r="G115" s="799"/>
      <c r="H115" s="800"/>
      <c r="I115" s="702"/>
      <c r="J115" s="14"/>
      <c r="K115" s="805"/>
      <c r="L115" s="805"/>
      <c r="M115" s="805"/>
      <c r="N115" s="779"/>
      <c r="O115" s="779"/>
      <c r="P115" s="779"/>
      <c r="Q115" s="779"/>
      <c r="R115" s="791"/>
      <c r="S115" s="78"/>
      <c r="T115" s="110"/>
      <c r="U115" s="31"/>
      <c r="V115" s="14"/>
    </row>
    <row r="116" spans="3:22" ht="12" customHeight="1" x14ac:dyDescent="0.2">
      <c r="C116" s="13"/>
      <c r="D116" s="19"/>
      <c r="E116" s="794"/>
      <c r="F116" s="801"/>
      <c r="G116" s="802"/>
      <c r="H116" s="803"/>
      <c r="I116" s="703"/>
      <c r="J116" s="14"/>
      <c r="K116" s="806"/>
      <c r="L116" s="806"/>
      <c r="M116" s="806"/>
      <c r="N116" s="780"/>
      <c r="O116" s="780"/>
      <c r="P116" s="780"/>
      <c r="Q116" s="780"/>
      <c r="R116" s="807"/>
      <c r="S116" s="122" t="s">
        <v>87</v>
      </c>
      <c r="T116" s="123">
        <f>SUM(T112:T115)</f>
        <v>5000</v>
      </c>
      <c r="U116" s="31"/>
      <c r="V116" s="14"/>
    </row>
    <row r="117" spans="3:22" x14ac:dyDescent="0.2">
      <c r="C117" s="13"/>
      <c r="D117" s="19">
        <f>D112+1</f>
        <v>22</v>
      </c>
      <c r="E117" s="793" t="s">
        <v>513</v>
      </c>
      <c r="F117" s="809" t="s">
        <v>550</v>
      </c>
      <c r="G117" s="810"/>
      <c r="H117" s="811"/>
      <c r="I117" s="702" t="s">
        <v>514</v>
      </c>
      <c r="J117" s="14"/>
      <c r="K117" s="804">
        <v>0</v>
      </c>
      <c r="L117" s="804">
        <v>0</v>
      </c>
      <c r="M117" s="804">
        <v>1</v>
      </c>
      <c r="N117" s="778">
        <v>0</v>
      </c>
      <c r="O117" s="778">
        <f>GETPIVOTDATA("Sum of 2017/18",'[4]ESC Cap Wks'!$A$3,"ACCOUNT NAME","Annual Renewal Program - Renewal Infrastructure - Renewal Footpaths","Statement of Capital Works - Asset Class","Footpaths and cycleways","Statement of Capital Works - N/R/U","Asset renewal expenditure")</f>
        <v>12000</v>
      </c>
      <c r="P117" s="778">
        <v>0</v>
      </c>
      <c r="Q117" s="778">
        <v>0</v>
      </c>
      <c r="R117" s="790">
        <f>SUM(N117:Q121)</f>
        <v>12000</v>
      </c>
      <c r="S117" s="78" t="s">
        <v>363</v>
      </c>
      <c r="T117" s="110">
        <f>'[9]6. Detailed Capital Works'!$I$52*1000</f>
        <v>12000</v>
      </c>
      <c r="U117" s="31"/>
      <c r="V117" s="14"/>
    </row>
    <row r="118" spans="3:22" x14ac:dyDescent="0.2">
      <c r="C118" s="13"/>
      <c r="D118" s="19"/>
      <c r="E118" s="782"/>
      <c r="F118" s="812"/>
      <c r="G118" s="813"/>
      <c r="H118" s="814"/>
      <c r="I118" s="702" t="s">
        <v>516</v>
      </c>
      <c r="J118" s="14"/>
      <c r="K118" s="805"/>
      <c r="L118" s="805"/>
      <c r="M118" s="805"/>
      <c r="N118" s="779"/>
      <c r="O118" s="779"/>
      <c r="P118" s="779"/>
      <c r="Q118" s="779"/>
      <c r="R118" s="791"/>
      <c r="S118" s="78"/>
      <c r="T118" s="110"/>
      <c r="U118" s="31"/>
      <c r="V118" s="14"/>
    </row>
    <row r="119" spans="3:22" x14ac:dyDescent="0.2">
      <c r="C119" s="13"/>
      <c r="D119" s="19"/>
      <c r="E119" s="782"/>
      <c r="F119" s="812"/>
      <c r="G119" s="813"/>
      <c r="H119" s="814"/>
      <c r="I119" s="702" t="s">
        <v>515</v>
      </c>
      <c r="J119" s="14"/>
      <c r="K119" s="805"/>
      <c r="L119" s="805"/>
      <c r="M119" s="805"/>
      <c r="N119" s="779"/>
      <c r="O119" s="779"/>
      <c r="P119" s="779"/>
      <c r="Q119" s="779"/>
      <c r="R119" s="791"/>
      <c r="S119" s="78"/>
      <c r="T119" s="110"/>
      <c r="U119" s="31"/>
      <c r="V119" s="14"/>
    </row>
    <row r="120" spans="3:22" x14ac:dyDescent="0.2">
      <c r="C120" s="13"/>
      <c r="D120" s="19"/>
      <c r="E120" s="782"/>
      <c r="F120" s="812"/>
      <c r="G120" s="813"/>
      <c r="H120" s="814"/>
      <c r="I120" s="702"/>
      <c r="J120" s="14"/>
      <c r="K120" s="805"/>
      <c r="L120" s="805"/>
      <c r="M120" s="805"/>
      <c r="N120" s="779"/>
      <c r="O120" s="779"/>
      <c r="P120" s="779"/>
      <c r="Q120" s="779"/>
      <c r="R120" s="791"/>
      <c r="S120" s="78"/>
      <c r="T120" s="110"/>
      <c r="U120" s="31"/>
      <c r="V120" s="14"/>
    </row>
    <row r="121" spans="3:22" x14ac:dyDescent="0.2">
      <c r="C121" s="13"/>
      <c r="D121" s="19"/>
      <c r="E121" s="794"/>
      <c r="F121" s="815"/>
      <c r="G121" s="816"/>
      <c r="H121" s="817"/>
      <c r="I121" s="703"/>
      <c r="J121" s="14"/>
      <c r="K121" s="806"/>
      <c r="L121" s="806"/>
      <c r="M121" s="806"/>
      <c r="N121" s="780"/>
      <c r="O121" s="780"/>
      <c r="P121" s="780"/>
      <c r="Q121" s="780"/>
      <c r="R121" s="807"/>
      <c r="S121" s="122" t="s">
        <v>87</v>
      </c>
      <c r="T121" s="123">
        <f>SUM(T117:T120)</f>
        <v>12000</v>
      </c>
      <c r="U121" s="31"/>
      <c r="V121" s="14"/>
    </row>
    <row r="122" spans="3:22" x14ac:dyDescent="0.2">
      <c r="C122" s="13"/>
      <c r="D122" s="19">
        <f>D117+1</f>
        <v>23</v>
      </c>
      <c r="E122" s="793" t="s">
        <v>509</v>
      </c>
      <c r="F122" s="809" t="s">
        <v>551</v>
      </c>
      <c r="G122" s="810"/>
      <c r="H122" s="811"/>
      <c r="I122" s="702" t="s">
        <v>514</v>
      </c>
      <c r="J122" s="14"/>
      <c r="K122" s="804">
        <v>0</v>
      </c>
      <c r="L122" s="804">
        <v>0</v>
      </c>
      <c r="M122" s="804">
        <v>1</v>
      </c>
      <c r="N122" s="778">
        <v>0</v>
      </c>
      <c r="O122" s="778">
        <f>SUM(GETPIVOTDATA("Sum of 2017/18",'[4]ESC Cap Wks'!$A$3,"ACCOUNT NAME","Annual Renewal Program - Renewal Car Parks &amp; Roads - Renewal access roads for reserves, parks and carparks","Statement of Capital Works - Asset Class","Roads","Statement of Capital Works - N/R/U","Asset renewal expenditure"),'[4]ESC Cap Wks'!$C$150:$C$151)</f>
        <v>105000</v>
      </c>
      <c r="P122" s="778">
        <v>0</v>
      </c>
      <c r="Q122" s="778">
        <v>0</v>
      </c>
      <c r="R122" s="790">
        <f>SUM(N122:Q126)</f>
        <v>105000</v>
      </c>
      <c r="S122" s="78" t="s">
        <v>363</v>
      </c>
      <c r="T122" s="110">
        <f>SUM('[9]6. Detailed Capital Works'!$I$41:$I$43)*1000</f>
        <v>105000</v>
      </c>
      <c r="U122" s="31"/>
      <c r="V122" s="14"/>
    </row>
    <row r="123" spans="3:22" x14ac:dyDescent="0.2">
      <c r="C123" s="13"/>
      <c r="D123" s="19"/>
      <c r="E123" s="782"/>
      <c r="F123" s="812"/>
      <c r="G123" s="813"/>
      <c r="H123" s="814"/>
      <c r="I123" s="702"/>
      <c r="J123" s="14"/>
      <c r="K123" s="805"/>
      <c r="L123" s="805"/>
      <c r="M123" s="805"/>
      <c r="N123" s="779"/>
      <c r="O123" s="779"/>
      <c r="P123" s="779"/>
      <c r="Q123" s="779"/>
      <c r="R123" s="791"/>
      <c r="S123" s="78"/>
      <c r="T123" s="110"/>
      <c r="U123" s="31"/>
      <c r="V123" s="14"/>
    </row>
    <row r="124" spans="3:22" x14ac:dyDescent="0.2">
      <c r="C124" s="13"/>
      <c r="D124" s="19"/>
      <c r="E124" s="782"/>
      <c r="F124" s="812"/>
      <c r="G124" s="813"/>
      <c r="H124" s="814"/>
      <c r="I124" s="702"/>
      <c r="J124" s="14"/>
      <c r="K124" s="805"/>
      <c r="L124" s="805"/>
      <c r="M124" s="805"/>
      <c r="N124" s="779"/>
      <c r="O124" s="779"/>
      <c r="P124" s="779"/>
      <c r="Q124" s="779"/>
      <c r="R124" s="791"/>
      <c r="S124" s="78"/>
      <c r="T124" s="110"/>
      <c r="U124" s="31"/>
      <c r="V124" s="14"/>
    </row>
    <row r="125" spans="3:22" x14ac:dyDescent="0.2">
      <c r="C125" s="13"/>
      <c r="D125" s="19"/>
      <c r="E125" s="782"/>
      <c r="F125" s="812"/>
      <c r="G125" s="813"/>
      <c r="H125" s="814"/>
      <c r="I125" s="702"/>
      <c r="J125" s="14"/>
      <c r="K125" s="805"/>
      <c r="L125" s="805"/>
      <c r="M125" s="805"/>
      <c r="N125" s="779"/>
      <c r="O125" s="779"/>
      <c r="P125" s="779"/>
      <c r="Q125" s="779"/>
      <c r="R125" s="791"/>
      <c r="S125" s="78"/>
      <c r="T125" s="110"/>
      <c r="U125" s="31"/>
      <c r="V125" s="14"/>
    </row>
    <row r="126" spans="3:22" x14ac:dyDescent="0.2">
      <c r="C126" s="13"/>
      <c r="D126" s="19"/>
      <c r="E126" s="794"/>
      <c r="F126" s="815"/>
      <c r="G126" s="816"/>
      <c r="H126" s="817"/>
      <c r="I126" s="703"/>
      <c r="J126" s="14"/>
      <c r="K126" s="806"/>
      <c r="L126" s="806"/>
      <c r="M126" s="806"/>
      <c r="N126" s="780"/>
      <c r="O126" s="780"/>
      <c r="P126" s="780"/>
      <c r="Q126" s="780"/>
      <c r="R126" s="807"/>
      <c r="S126" s="122" t="s">
        <v>87</v>
      </c>
      <c r="T126" s="123">
        <f>SUM(T122:T125)</f>
        <v>105000</v>
      </c>
      <c r="U126" s="31"/>
      <c r="V126" s="14"/>
    </row>
    <row r="127" spans="3:22" x14ac:dyDescent="0.2">
      <c r="C127" s="13"/>
      <c r="D127" s="19">
        <f>D122+1</f>
        <v>24</v>
      </c>
      <c r="E127" s="793" t="s">
        <v>510</v>
      </c>
      <c r="F127" s="795" t="s">
        <v>552</v>
      </c>
      <c r="G127" s="796"/>
      <c r="H127" s="797"/>
      <c r="I127" s="702" t="s">
        <v>514</v>
      </c>
      <c r="J127" s="14"/>
      <c r="K127" s="804">
        <v>0</v>
      </c>
      <c r="L127" s="804">
        <v>1</v>
      </c>
      <c r="M127" s="804">
        <v>0</v>
      </c>
      <c r="N127" s="778">
        <v>0</v>
      </c>
      <c r="O127" s="778">
        <f>SUM('[4]ESC Cap Wks'!$C$126:$C$128)</f>
        <v>165000</v>
      </c>
      <c r="P127" s="778">
        <v>0</v>
      </c>
      <c r="Q127" s="778">
        <v>0</v>
      </c>
      <c r="R127" s="790">
        <f>SUM(N127:Q131)</f>
        <v>165000</v>
      </c>
      <c r="S127" s="78" t="s">
        <v>363</v>
      </c>
      <c r="T127" s="110">
        <f>'[9]6. Detailed Capital Works'!$I$26*1000</f>
        <v>87500</v>
      </c>
      <c r="U127" s="31"/>
      <c r="V127" s="14"/>
    </row>
    <row r="128" spans="3:22" x14ac:dyDescent="0.2">
      <c r="C128" s="13"/>
      <c r="D128" s="19"/>
      <c r="E128" s="782"/>
      <c r="F128" s="798"/>
      <c r="G128" s="799"/>
      <c r="H128" s="800"/>
      <c r="I128" s="702"/>
      <c r="J128" s="14"/>
      <c r="K128" s="805"/>
      <c r="L128" s="805"/>
      <c r="M128" s="805"/>
      <c r="N128" s="779"/>
      <c r="O128" s="779"/>
      <c r="P128" s="779"/>
      <c r="Q128" s="779"/>
      <c r="R128" s="791"/>
      <c r="S128" s="78" t="s">
        <v>112</v>
      </c>
      <c r="T128" s="110">
        <f>'[9]6. Detailed Capital Works'!$L$23*1000</f>
        <v>77500</v>
      </c>
      <c r="U128" s="31"/>
      <c r="V128" s="14"/>
    </row>
    <row r="129" spans="3:22" x14ac:dyDescent="0.2">
      <c r="C129" s="13"/>
      <c r="D129" s="19"/>
      <c r="E129" s="782"/>
      <c r="F129" s="798"/>
      <c r="G129" s="799"/>
      <c r="H129" s="800"/>
      <c r="I129" s="702"/>
      <c r="J129" s="14"/>
      <c r="K129" s="805"/>
      <c r="L129" s="805"/>
      <c r="M129" s="805"/>
      <c r="N129" s="779"/>
      <c r="O129" s="779"/>
      <c r="P129" s="779"/>
      <c r="Q129" s="779"/>
      <c r="R129" s="791"/>
      <c r="S129" s="78"/>
      <c r="T129" s="110"/>
      <c r="U129" s="31"/>
      <c r="V129" s="14"/>
    </row>
    <row r="130" spans="3:22" x14ac:dyDescent="0.2">
      <c r="C130" s="13"/>
      <c r="D130" s="19"/>
      <c r="E130" s="782"/>
      <c r="F130" s="798"/>
      <c r="G130" s="799"/>
      <c r="H130" s="800"/>
      <c r="I130" s="702"/>
      <c r="J130" s="14"/>
      <c r="K130" s="805"/>
      <c r="L130" s="805"/>
      <c r="M130" s="805"/>
      <c r="N130" s="779"/>
      <c r="O130" s="779"/>
      <c r="P130" s="779"/>
      <c r="Q130" s="779"/>
      <c r="R130" s="791"/>
      <c r="S130" s="78"/>
      <c r="T130" s="110"/>
      <c r="U130" s="31"/>
      <c r="V130" s="14"/>
    </row>
    <row r="131" spans="3:22" x14ac:dyDescent="0.2">
      <c r="C131" s="13"/>
      <c r="D131" s="19"/>
      <c r="E131" s="794"/>
      <c r="F131" s="801"/>
      <c r="G131" s="802"/>
      <c r="H131" s="803"/>
      <c r="I131" s="703"/>
      <c r="J131" s="14"/>
      <c r="K131" s="806"/>
      <c r="L131" s="806"/>
      <c r="M131" s="806"/>
      <c r="N131" s="780"/>
      <c r="O131" s="780"/>
      <c r="P131" s="780"/>
      <c r="Q131" s="780"/>
      <c r="R131" s="807"/>
      <c r="S131" s="122" t="s">
        <v>87</v>
      </c>
      <c r="T131" s="123">
        <f>SUM(T127:T130)</f>
        <v>165000</v>
      </c>
      <c r="U131" s="31"/>
      <c r="V131" s="14"/>
    </row>
    <row r="132" spans="3:22" ht="12" customHeight="1" x14ac:dyDescent="0.2">
      <c r="C132" s="13"/>
      <c r="D132" s="19">
        <f>D127+1</f>
        <v>25</v>
      </c>
      <c r="E132" s="793" t="s">
        <v>511</v>
      </c>
      <c r="F132" s="795" t="s">
        <v>553</v>
      </c>
      <c r="G132" s="796"/>
      <c r="H132" s="797"/>
      <c r="I132" s="702" t="s">
        <v>514</v>
      </c>
      <c r="J132" s="14"/>
      <c r="K132" s="804">
        <v>0</v>
      </c>
      <c r="L132" s="804">
        <v>0</v>
      </c>
      <c r="M132" s="804">
        <v>1</v>
      </c>
      <c r="N132" s="778">
        <v>0</v>
      </c>
      <c r="O132" s="778">
        <f>SUM('[4]ESC Cap Wks'!$C$114:$C$116)</f>
        <v>46597.15</v>
      </c>
      <c r="P132" s="778">
        <v>0</v>
      </c>
      <c r="Q132" s="778">
        <v>0</v>
      </c>
      <c r="R132" s="790">
        <f>SUM(N132:Q136)</f>
        <v>46597.15</v>
      </c>
      <c r="S132" s="78" t="s">
        <v>363</v>
      </c>
      <c r="T132" s="110">
        <f>SUM('[9]6. Detailed Capital Works'!$I$72:$I$74)*1000</f>
        <v>33000</v>
      </c>
      <c r="U132" s="31"/>
      <c r="V132" s="14"/>
    </row>
    <row r="133" spans="3:22" ht="12" customHeight="1" x14ac:dyDescent="0.2">
      <c r="C133" s="13"/>
      <c r="D133" s="19"/>
      <c r="E133" s="782"/>
      <c r="F133" s="798"/>
      <c r="G133" s="799"/>
      <c r="H133" s="800"/>
      <c r="I133" s="702" t="s">
        <v>516</v>
      </c>
      <c r="J133" s="14"/>
      <c r="K133" s="805"/>
      <c r="L133" s="805"/>
      <c r="M133" s="805"/>
      <c r="N133" s="779"/>
      <c r="O133" s="779"/>
      <c r="P133" s="779"/>
      <c r="Q133" s="779"/>
      <c r="R133" s="791"/>
      <c r="S133" s="78" t="s">
        <v>111</v>
      </c>
      <c r="T133" s="110">
        <f>'[9]6. Detailed Capital Works'!$J$135*1000</f>
        <v>13597.15</v>
      </c>
      <c r="U133" s="31"/>
      <c r="V133" s="14"/>
    </row>
    <row r="134" spans="3:22" ht="12" customHeight="1" x14ac:dyDescent="0.2">
      <c r="C134" s="13"/>
      <c r="D134" s="19"/>
      <c r="E134" s="782"/>
      <c r="F134" s="798"/>
      <c r="G134" s="799"/>
      <c r="H134" s="800"/>
      <c r="I134" s="702" t="s">
        <v>515</v>
      </c>
      <c r="J134" s="14"/>
      <c r="K134" s="805"/>
      <c r="L134" s="805"/>
      <c r="M134" s="805"/>
      <c r="N134" s="779"/>
      <c r="O134" s="779"/>
      <c r="P134" s="779"/>
      <c r="Q134" s="779"/>
      <c r="R134" s="791"/>
      <c r="S134" s="78"/>
      <c r="T134" s="110"/>
      <c r="U134" s="31"/>
      <c r="V134" s="14"/>
    </row>
    <row r="135" spans="3:22" ht="12" customHeight="1" x14ac:dyDescent="0.2">
      <c r="C135" s="13"/>
      <c r="D135" s="19"/>
      <c r="E135" s="782"/>
      <c r="F135" s="798"/>
      <c r="G135" s="799"/>
      <c r="H135" s="800"/>
      <c r="I135" s="702"/>
      <c r="J135" s="14"/>
      <c r="K135" s="805"/>
      <c r="L135" s="805"/>
      <c r="M135" s="805"/>
      <c r="N135" s="779"/>
      <c r="O135" s="779"/>
      <c r="P135" s="779"/>
      <c r="Q135" s="779"/>
      <c r="R135" s="791"/>
      <c r="S135" s="78"/>
      <c r="T135" s="110"/>
      <c r="U135" s="31"/>
      <c r="V135" s="14"/>
    </row>
    <row r="136" spans="3:22" ht="12" customHeight="1" x14ac:dyDescent="0.2">
      <c r="C136" s="13"/>
      <c r="D136" s="19"/>
      <c r="E136" s="794"/>
      <c r="F136" s="801"/>
      <c r="G136" s="802"/>
      <c r="H136" s="803"/>
      <c r="I136" s="703"/>
      <c r="J136" s="14"/>
      <c r="K136" s="806"/>
      <c r="L136" s="806"/>
      <c r="M136" s="806"/>
      <c r="N136" s="780"/>
      <c r="O136" s="780"/>
      <c r="P136" s="780"/>
      <c r="Q136" s="780"/>
      <c r="R136" s="807"/>
      <c r="S136" s="122" t="s">
        <v>87</v>
      </c>
      <c r="T136" s="123">
        <f>SUM(T132:T135)</f>
        <v>46597.15</v>
      </c>
      <c r="U136" s="31"/>
      <c r="V136" s="14"/>
    </row>
    <row r="137" spans="3:22" x14ac:dyDescent="0.2">
      <c r="C137" s="13"/>
      <c r="D137" s="19">
        <f>D132+1</f>
        <v>26</v>
      </c>
      <c r="E137" s="793" t="s">
        <v>512</v>
      </c>
      <c r="F137" s="795" t="s">
        <v>554</v>
      </c>
      <c r="G137" s="796"/>
      <c r="H137" s="797"/>
      <c r="I137" s="702" t="s">
        <v>514</v>
      </c>
      <c r="J137" s="14"/>
      <c r="K137" s="804">
        <v>0</v>
      </c>
      <c r="L137" s="804">
        <v>0</v>
      </c>
      <c r="M137" s="804">
        <v>1</v>
      </c>
      <c r="N137" s="778">
        <v>0</v>
      </c>
      <c r="O137" s="778">
        <f>SUM('[4]ESC Cap Wks'!$C$133:$C$137)</f>
        <v>50000</v>
      </c>
      <c r="P137" s="778">
        <v>0</v>
      </c>
      <c r="Q137" s="778">
        <v>0</v>
      </c>
      <c r="R137" s="790">
        <f>SUM(N137:Q141)</f>
        <v>50000</v>
      </c>
      <c r="S137" s="78" t="s">
        <v>363</v>
      </c>
      <c r="T137" s="110">
        <f>SUM('[9]6. Detailed Capital Works'!$I$62:$I$66)*1000</f>
        <v>40000</v>
      </c>
      <c r="U137" s="31"/>
      <c r="V137" s="14"/>
    </row>
    <row r="138" spans="3:22" x14ac:dyDescent="0.2">
      <c r="C138" s="13"/>
      <c r="D138" s="19"/>
      <c r="E138" s="782"/>
      <c r="F138" s="798"/>
      <c r="G138" s="799"/>
      <c r="H138" s="800"/>
      <c r="I138" s="702" t="s">
        <v>516</v>
      </c>
      <c r="J138" s="14"/>
      <c r="K138" s="805"/>
      <c r="L138" s="805"/>
      <c r="M138" s="805"/>
      <c r="N138" s="779"/>
      <c r="O138" s="779"/>
      <c r="P138" s="779"/>
      <c r="Q138" s="779"/>
      <c r="R138" s="791"/>
      <c r="S138" s="78" t="s">
        <v>111</v>
      </c>
      <c r="T138" s="110">
        <f>'[9]6. Detailed Capital Works'!$J$130*1000</f>
        <v>10000</v>
      </c>
      <c r="U138" s="31"/>
      <c r="V138" s="14"/>
    </row>
    <row r="139" spans="3:22" x14ac:dyDescent="0.2">
      <c r="C139" s="13"/>
      <c r="D139" s="19"/>
      <c r="E139" s="782"/>
      <c r="F139" s="798"/>
      <c r="G139" s="799"/>
      <c r="H139" s="800"/>
      <c r="I139" s="702" t="s">
        <v>515</v>
      </c>
      <c r="J139" s="14"/>
      <c r="K139" s="805"/>
      <c r="L139" s="805"/>
      <c r="M139" s="805"/>
      <c r="N139" s="779"/>
      <c r="O139" s="779"/>
      <c r="P139" s="779"/>
      <c r="Q139" s="779"/>
      <c r="R139" s="791"/>
      <c r="S139" s="78"/>
      <c r="T139" s="110"/>
      <c r="U139" s="31"/>
      <c r="V139" s="14"/>
    </row>
    <row r="140" spans="3:22" x14ac:dyDescent="0.2">
      <c r="C140" s="13"/>
      <c r="D140" s="19"/>
      <c r="E140" s="782"/>
      <c r="F140" s="798"/>
      <c r="G140" s="799"/>
      <c r="H140" s="800"/>
      <c r="I140" s="702"/>
      <c r="J140" s="14"/>
      <c r="K140" s="805"/>
      <c r="L140" s="805"/>
      <c r="M140" s="805"/>
      <c r="N140" s="779"/>
      <c r="O140" s="779"/>
      <c r="P140" s="779"/>
      <c r="Q140" s="779"/>
      <c r="R140" s="791"/>
      <c r="S140" s="78"/>
      <c r="T140" s="110"/>
      <c r="U140" s="31"/>
      <c r="V140" s="14"/>
    </row>
    <row r="141" spans="3:22" x14ac:dyDescent="0.2">
      <c r="C141" s="13"/>
      <c r="D141" s="19"/>
      <c r="E141" s="794"/>
      <c r="F141" s="801"/>
      <c r="G141" s="802"/>
      <c r="H141" s="803"/>
      <c r="I141" s="703"/>
      <c r="J141" s="14"/>
      <c r="K141" s="806"/>
      <c r="L141" s="806"/>
      <c r="M141" s="806"/>
      <c r="N141" s="780"/>
      <c r="O141" s="780"/>
      <c r="P141" s="780"/>
      <c r="Q141" s="780"/>
      <c r="R141" s="807"/>
      <c r="S141" s="122" t="s">
        <v>87</v>
      </c>
      <c r="T141" s="123">
        <f>SUM(T137:T140)</f>
        <v>50000</v>
      </c>
      <c r="U141" s="31"/>
      <c r="V141" s="14"/>
    </row>
    <row r="142" spans="3:22" x14ac:dyDescent="0.2">
      <c r="C142" s="13"/>
      <c r="D142" s="19">
        <f>D137+1</f>
        <v>27</v>
      </c>
      <c r="E142" s="793" t="s">
        <v>508</v>
      </c>
      <c r="F142" s="795" t="s">
        <v>555</v>
      </c>
      <c r="G142" s="796"/>
      <c r="H142" s="797"/>
      <c r="I142" s="702" t="s">
        <v>514</v>
      </c>
      <c r="J142" s="14"/>
      <c r="K142" s="804">
        <v>0</v>
      </c>
      <c r="L142" s="804">
        <v>0</v>
      </c>
      <c r="M142" s="804">
        <v>1</v>
      </c>
      <c r="N142" s="778">
        <v>0</v>
      </c>
      <c r="O142" s="778">
        <f>GETPIVOTDATA("Sum of 2017/18",'[4]ESC Cap Wks'!$A$3,"ACCOUNT NAME","Annual Renewal Program - Renewal Infrastructure - Roads to Recovery Program","Statement of Capital Works - Asset Class","Roads","Statement of Capital Works - N/R/U","Asset renewal expenditure")</f>
        <v>231300</v>
      </c>
      <c r="P142" s="778">
        <v>0</v>
      </c>
      <c r="Q142" s="778">
        <v>0</v>
      </c>
      <c r="R142" s="790">
        <f>SUM(N142:Q146)</f>
        <v>231300</v>
      </c>
      <c r="S142" s="78" t="s">
        <v>108</v>
      </c>
      <c r="T142" s="110">
        <f>'[9]6. Detailed Capital Works'!$G$44*1000</f>
        <v>231300</v>
      </c>
      <c r="U142" s="31"/>
      <c r="V142" s="14"/>
    </row>
    <row r="143" spans="3:22" x14ac:dyDescent="0.2">
      <c r="C143" s="13"/>
      <c r="D143" s="19"/>
      <c r="E143" s="782"/>
      <c r="F143" s="798"/>
      <c r="G143" s="799"/>
      <c r="H143" s="800"/>
      <c r="I143" s="702"/>
      <c r="J143" s="14"/>
      <c r="K143" s="805"/>
      <c r="L143" s="805"/>
      <c r="M143" s="805"/>
      <c r="N143" s="779"/>
      <c r="O143" s="779"/>
      <c r="P143" s="779"/>
      <c r="Q143" s="779"/>
      <c r="R143" s="791"/>
      <c r="S143" s="78"/>
      <c r="T143" s="110"/>
      <c r="U143" s="31"/>
      <c r="V143" s="14"/>
    </row>
    <row r="144" spans="3:22" x14ac:dyDescent="0.2">
      <c r="C144" s="13"/>
      <c r="D144" s="19"/>
      <c r="E144" s="782"/>
      <c r="F144" s="798"/>
      <c r="G144" s="799"/>
      <c r="H144" s="800"/>
      <c r="I144" s="702"/>
      <c r="J144" s="14"/>
      <c r="K144" s="805"/>
      <c r="L144" s="805"/>
      <c r="M144" s="805"/>
      <c r="N144" s="779"/>
      <c r="O144" s="779"/>
      <c r="P144" s="779"/>
      <c r="Q144" s="779"/>
      <c r="R144" s="791"/>
      <c r="S144" s="78"/>
      <c r="T144" s="110"/>
      <c r="U144" s="31"/>
      <c r="V144" s="14"/>
    </row>
    <row r="145" spans="2:22" x14ac:dyDescent="0.2">
      <c r="C145" s="13"/>
      <c r="D145" s="19"/>
      <c r="E145" s="782"/>
      <c r="F145" s="798"/>
      <c r="G145" s="799"/>
      <c r="H145" s="800"/>
      <c r="I145" s="702"/>
      <c r="J145" s="14"/>
      <c r="K145" s="805"/>
      <c r="L145" s="805"/>
      <c r="M145" s="805"/>
      <c r="N145" s="779"/>
      <c r="O145" s="779"/>
      <c r="P145" s="779"/>
      <c r="Q145" s="779"/>
      <c r="R145" s="791"/>
      <c r="S145" s="78"/>
      <c r="T145" s="110"/>
      <c r="U145" s="31"/>
      <c r="V145" s="14"/>
    </row>
    <row r="146" spans="2:22" x14ac:dyDescent="0.2">
      <c r="C146" s="13"/>
      <c r="D146" s="19"/>
      <c r="E146" s="794"/>
      <c r="F146" s="801"/>
      <c r="G146" s="802"/>
      <c r="H146" s="803"/>
      <c r="I146" s="703"/>
      <c r="J146" s="14"/>
      <c r="K146" s="806"/>
      <c r="L146" s="806"/>
      <c r="M146" s="806"/>
      <c r="N146" s="780"/>
      <c r="O146" s="780"/>
      <c r="P146" s="780"/>
      <c r="Q146" s="780"/>
      <c r="R146" s="807"/>
      <c r="S146" s="122" t="s">
        <v>87</v>
      </c>
      <c r="T146" s="123">
        <f>SUM(T142:T145)</f>
        <v>231300</v>
      </c>
      <c r="U146" s="31"/>
      <c r="V146" s="14"/>
    </row>
    <row r="147" spans="2:22" x14ac:dyDescent="0.2">
      <c r="C147" s="13"/>
      <c r="D147" s="19">
        <f>D142+1</f>
        <v>28</v>
      </c>
      <c r="E147" s="793" t="str">
        <f>'[4]ESC Cap Wks'!$A$24</f>
        <v>Destination Queenscliff Project Management</v>
      </c>
      <c r="F147" s="795" t="s">
        <v>556</v>
      </c>
      <c r="G147" s="796"/>
      <c r="H147" s="797"/>
      <c r="I147" s="702" t="s">
        <v>519</v>
      </c>
      <c r="J147" s="14"/>
      <c r="K147" s="804">
        <v>0.85</v>
      </c>
      <c r="L147" s="804">
        <v>0</v>
      </c>
      <c r="M147" s="804">
        <v>0.15</v>
      </c>
      <c r="N147" s="778">
        <f>0.85*GETPIVOTDATA("Sum of 2017/18",'[4]ESC Cap Wks'!$A$3,"ACCOUNT NAME","Destination Queenscliff Project Management","Statement of Capital Works - Asset Class","85% Buildings, 15% Car Parks","Statement of Capital Works - N/R/U","85% New, 15% Upgrade")</f>
        <v>148750</v>
      </c>
      <c r="O147" s="778">
        <v>0</v>
      </c>
      <c r="P147" s="778">
        <v>0</v>
      </c>
      <c r="Q147" s="778">
        <f>0.15*GETPIVOTDATA("Sum of 2017/18",'[4]ESC Cap Wks'!$A$3,"ACCOUNT NAME","Destination Queenscliff Project Management","Statement of Capital Works - Asset Class","85% Buildings, 15% Car Parks","Statement of Capital Works - N/R/U","85% New, 15% Upgrade")</f>
        <v>26250</v>
      </c>
      <c r="R147" s="790">
        <f>SUM(N147:Q151)</f>
        <v>175000</v>
      </c>
      <c r="S147" s="78" t="s">
        <v>363</v>
      </c>
      <c r="T147" s="110">
        <f>R147</f>
        <v>175000</v>
      </c>
      <c r="U147" s="31"/>
      <c r="V147" s="14"/>
    </row>
    <row r="148" spans="2:22" x14ac:dyDescent="0.2">
      <c r="C148" s="13"/>
      <c r="D148" s="19"/>
      <c r="E148" s="782"/>
      <c r="F148" s="798"/>
      <c r="G148" s="799"/>
      <c r="H148" s="800"/>
      <c r="I148" s="702" t="s">
        <v>516</v>
      </c>
      <c r="J148" s="14"/>
      <c r="K148" s="805"/>
      <c r="L148" s="805"/>
      <c r="M148" s="805"/>
      <c r="N148" s="779"/>
      <c r="O148" s="779"/>
      <c r="P148" s="779"/>
      <c r="Q148" s="779"/>
      <c r="R148" s="791"/>
      <c r="S148" s="78"/>
      <c r="T148" s="110"/>
      <c r="U148" s="31"/>
      <c r="V148" s="14"/>
    </row>
    <row r="149" spans="2:22" x14ac:dyDescent="0.2">
      <c r="C149" s="13"/>
      <c r="D149" s="19"/>
      <c r="E149" s="782"/>
      <c r="F149" s="798"/>
      <c r="G149" s="799"/>
      <c r="H149" s="800"/>
      <c r="I149" s="702" t="s">
        <v>514</v>
      </c>
      <c r="J149" s="14"/>
      <c r="K149" s="805"/>
      <c r="L149" s="805"/>
      <c r="M149" s="805"/>
      <c r="N149" s="779"/>
      <c r="O149" s="779"/>
      <c r="P149" s="779"/>
      <c r="Q149" s="779"/>
      <c r="R149" s="791"/>
      <c r="S149" s="78"/>
      <c r="T149" s="110"/>
      <c r="U149" s="31"/>
      <c r="V149" s="14"/>
    </row>
    <row r="150" spans="2:22" x14ac:dyDescent="0.2">
      <c r="C150" s="13"/>
      <c r="D150" s="19"/>
      <c r="E150" s="782"/>
      <c r="F150" s="798"/>
      <c r="G150" s="799"/>
      <c r="H150" s="800"/>
      <c r="I150" s="702" t="s">
        <v>515</v>
      </c>
      <c r="J150" s="14"/>
      <c r="K150" s="805"/>
      <c r="L150" s="805"/>
      <c r="M150" s="805"/>
      <c r="N150" s="779"/>
      <c r="O150" s="779"/>
      <c r="P150" s="779"/>
      <c r="Q150" s="779"/>
      <c r="R150" s="791"/>
      <c r="S150" s="78"/>
      <c r="T150" s="110"/>
      <c r="U150" s="31"/>
      <c r="V150" s="14"/>
    </row>
    <row r="151" spans="2:22" x14ac:dyDescent="0.2">
      <c r="C151" s="13"/>
      <c r="D151" s="19"/>
      <c r="E151" s="794"/>
      <c r="F151" s="801"/>
      <c r="G151" s="802"/>
      <c r="H151" s="803"/>
      <c r="I151" s="703" t="s">
        <v>533</v>
      </c>
      <c r="J151" s="14"/>
      <c r="K151" s="806"/>
      <c r="L151" s="806"/>
      <c r="M151" s="806"/>
      <c r="N151" s="780"/>
      <c r="O151" s="780"/>
      <c r="P151" s="780"/>
      <c r="Q151" s="780"/>
      <c r="R151" s="807"/>
      <c r="S151" s="122" t="s">
        <v>87</v>
      </c>
      <c r="T151" s="123">
        <f>SUM(T147:T150)</f>
        <v>175000</v>
      </c>
      <c r="U151" s="31"/>
      <c r="V151" s="14"/>
    </row>
    <row r="152" spans="2:22" ht="12.75" customHeight="1" x14ac:dyDescent="0.2">
      <c r="C152" s="13"/>
      <c r="D152" s="19">
        <f>D147+1</f>
        <v>29</v>
      </c>
      <c r="E152" s="793" t="str">
        <f>'[4]ESC Cap Wks'!$A$18</f>
        <v>Project management - priority infrastructure projects (capital)</v>
      </c>
      <c r="F152" s="795" t="s">
        <v>557</v>
      </c>
      <c r="G152" s="796"/>
      <c r="H152" s="797"/>
      <c r="I152" s="702" t="s">
        <v>519</v>
      </c>
      <c r="J152" s="14"/>
      <c r="K152" s="804">
        <v>0.5</v>
      </c>
      <c r="L152" s="804">
        <v>0</v>
      </c>
      <c r="M152" s="804">
        <v>0.5</v>
      </c>
      <c r="N152" s="778">
        <f>0.25*(SUM('[4]ESC Cap Wks'!$C$17:$C$18))</f>
        <v>50325</v>
      </c>
      <c r="O152" s="778">
        <f>0.6*(SUM('[4]ESC Cap Wks'!$C$17:$C$18))</f>
        <v>120780</v>
      </c>
      <c r="P152" s="778">
        <v>0</v>
      </c>
      <c r="Q152" s="778">
        <f>0.15*(SUM('[4]ESC Cap Wks'!$C$17:$C$18))</f>
        <v>30195</v>
      </c>
      <c r="R152" s="790">
        <f>SUM(N152:Q156)</f>
        <v>201300</v>
      </c>
      <c r="S152" s="78" t="s">
        <v>363</v>
      </c>
      <c r="T152" s="110">
        <f>R152</f>
        <v>201300</v>
      </c>
      <c r="U152" s="31"/>
      <c r="V152" s="14"/>
    </row>
    <row r="153" spans="2:22" ht="12.75" customHeight="1" x14ac:dyDescent="0.2">
      <c r="C153" s="13"/>
      <c r="D153" s="19"/>
      <c r="E153" s="782"/>
      <c r="F153" s="798"/>
      <c r="G153" s="799"/>
      <c r="H153" s="800"/>
      <c r="I153" s="702" t="s">
        <v>516</v>
      </c>
      <c r="J153" s="14"/>
      <c r="K153" s="805"/>
      <c r="L153" s="805"/>
      <c r="M153" s="805"/>
      <c r="N153" s="779"/>
      <c r="O153" s="779"/>
      <c r="P153" s="779"/>
      <c r="Q153" s="779"/>
      <c r="R153" s="791"/>
      <c r="S153" s="78"/>
      <c r="T153" s="110"/>
      <c r="U153" s="31"/>
      <c r="V153" s="14"/>
    </row>
    <row r="154" spans="2:22" ht="12.75" customHeight="1" x14ac:dyDescent="0.2">
      <c r="C154" s="13"/>
      <c r="D154" s="19"/>
      <c r="E154" s="782"/>
      <c r="F154" s="798"/>
      <c r="G154" s="799"/>
      <c r="H154" s="800"/>
      <c r="I154" s="702" t="s">
        <v>514</v>
      </c>
      <c r="J154" s="14"/>
      <c r="K154" s="805"/>
      <c r="L154" s="805"/>
      <c r="M154" s="805"/>
      <c r="N154" s="779"/>
      <c r="O154" s="779"/>
      <c r="P154" s="779"/>
      <c r="Q154" s="779"/>
      <c r="R154" s="791"/>
      <c r="S154" s="78"/>
      <c r="T154" s="110"/>
      <c r="U154" s="31"/>
      <c r="V154" s="14"/>
    </row>
    <row r="155" spans="2:22" ht="12.75" customHeight="1" x14ac:dyDescent="0.2">
      <c r="C155" s="13"/>
      <c r="D155" s="19"/>
      <c r="E155" s="782"/>
      <c r="F155" s="798"/>
      <c r="G155" s="799"/>
      <c r="H155" s="800"/>
      <c r="I155" s="702" t="s">
        <v>515</v>
      </c>
      <c r="J155" s="14"/>
      <c r="K155" s="805"/>
      <c r="L155" s="805"/>
      <c r="M155" s="805"/>
      <c r="N155" s="779"/>
      <c r="O155" s="779"/>
      <c r="P155" s="779"/>
      <c r="Q155" s="779"/>
      <c r="R155" s="791"/>
      <c r="S155" s="78"/>
      <c r="T155" s="110"/>
      <c r="U155" s="31"/>
      <c r="V155" s="14"/>
    </row>
    <row r="156" spans="2:22" ht="12.75" customHeight="1" x14ac:dyDescent="0.2">
      <c r="C156" s="13"/>
      <c r="D156" s="19"/>
      <c r="E156" s="794"/>
      <c r="F156" s="801"/>
      <c r="G156" s="802"/>
      <c r="H156" s="803"/>
      <c r="I156" s="703" t="s">
        <v>533</v>
      </c>
      <c r="J156" s="14"/>
      <c r="K156" s="806"/>
      <c r="L156" s="806"/>
      <c r="M156" s="806"/>
      <c r="N156" s="780"/>
      <c r="O156" s="780"/>
      <c r="P156" s="780"/>
      <c r="Q156" s="780"/>
      <c r="R156" s="807"/>
      <c r="S156" s="122" t="s">
        <v>87</v>
      </c>
      <c r="T156" s="123">
        <f>SUM(T152:T155)</f>
        <v>201300</v>
      </c>
      <c r="U156" s="31"/>
      <c r="V156" s="14"/>
    </row>
    <row r="157" spans="2:22" x14ac:dyDescent="0.2">
      <c r="C157" s="13"/>
      <c r="D157" s="14"/>
      <c r="E157" s="81"/>
      <c r="F157" s="54"/>
      <c r="G157" s="54"/>
      <c r="H157" s="14"/>
      <c r="I157" s="14"/>
      <c r="J157" s="14"/>
      <c r="K157" s="14"/>
      <c r="L157" s="14"/>
      <c r="M157" s="14"/>
      <c r="N157" s="14"/>
      <c r="O157" s="14"/>
      <c r="P157" s="14"/>
      <c r="Q157" s="14"/>
      <c r="R157" s="405">
        <f>SUM(R12:R156)/R188</f>
        <v>1.0000000000000002</v>
      </c>
      <c r="S157" s="14"/>
      <c r="T157" s="14"/>
      <c r="U157" s="31"/>
      <c r="V157" s="14"/>
    </row>
    <row r="158" spans="2:22" x14ac:dyDescent="0.2">
      <c r="C158" s="13"/>
      <c r="D158" s="14"/>
      <c r="E158" s="81"/>
      <c r="F158" s="54"/>
      <c r="G158" s="54"/>
      <c r="H158" s="14"/>
      <c r="I158" s="14"/>
      <c r="J158" s="14"/>
      <c r="K158" s="14"/>
      <c r="L158" s="14"/>
      <c r="M158" s="14"/>
      <c r="N158" s="14"/>
      <c r="O158" s="14"/>
      <c r="P158" s="14"/>
      <c r="Q158" s="14"/>
      <c r="R158" s="14"/>
      <c r="S158" s="14"/>
      <c r="T158" s="14"/>
      <c r="U158" s="31"/>
      <c r="V158" s="14"/>
    </row>
    <row r="159" spans="2:22" x14ac:dyDescent="0.2">
      <c r="B159" s="14"/>
      <c r="C159" s="13"/>
      <c r="D159" s="14"/>
      <c r="E159" s="81"/>
      <c r="F159" s="14"/>
      <c r="G159" s="14"/>
      <c r="H159" s="14"/>
      <c r="I159" s="14"/>
      <c r="J159" s="14"/>
      <c r="K159" s="14"/>
      <c r="L159" s="14"/>
      <c r="M159" s="14"/>
      <c r="N159" s="14"/>
      <c r="O159" s="14"/>
      <c r="P159" s="14"/>
      <c r="Q159" s="14"/>
      <c r="R159" s="14"/>
      <c r="S159" s="14"/>
      <c r="T159" s="14"/>
      <c r="U159" s="31"/>
      <c r="V159" s="14"/>
    </row>
    <row r="160" spans="2:22" x14ac:dyDescent="0.2">
      <c r="B160" s="14"/>
      <c r="C160" s="13"/>
      <c r="D160" s="14"/>
      <c r="E160" s="124"/>
      <c r="F160" s="128"/>
      <c r="G160" s="128"/>
      <c r="H160" s="784" t="s">
        <v>145</v>
      </c>
      <c r="I160" s="785"/>
      <c r="J160" s="14"/>
      <c r="K160" s="14"/>
      <c r="L160" s="14"/>
      <c r="M160" s="14"/>
      <c r="N160" s="786" t="s">
        <v>101</v>
      </c>
      <c r="O160" s="787"/>
      <c r="P160" s="787"/>
      <c r="Q160" s="787"/>
      <c r="R160" s="788"/>
      <c r="S160" s="125"/>
      <c r="T160" s="126"/>
      <c r="U160" s="131"/>
      <c r="V160" s="30"/>
    </row>
    <row r="161" spans="2:22" ht="25.5" x14ac:dyDescent="0.2">
      <c r="B161" s="14"/>
      <c r="C161" s="13"/>
      <c r="D161" s="14"/>
      <c r="E161" s="130"/>
      <c r="F161" s="14"/>
      <c r="G161" s="14"/>
      <c r="H161" s="105" t="s">
        <v>143</v>
      </c>
      <c r="I161" s="105" t="s">
        <v>144</v>
      </c>
      <c r="J161" s="14"/>
      <c r="K161" s="14"/>
      <c r="L161" s="14"/>
      <c r="M161" s="14"/>
      <c r="N161" s="186" t="s">
        <v>103</v>
      </c>
      <c r="O161" s="186" t="s">
        <v>104</v>
      </c>
      <c r="P161" s="186" t="s">
        <v>105</v>
      </c>
      <c r="Q161" s="186" t="s">
        <v>106</v>
      </c>
      <c r="R161" s="186" t="s">
        <v>87</v>
      </c>
      <c r="S161" s="186" t="s">
        <v>141</v>
      </c>
      <c r="T161" s="221" t="s">
        <v>142</v>
      </c>
      <c r="U161" s="31"/>
      <c r="V161" s="14"/>
    </row>
    <row r="162" spans="2:22" x14ac:dyDescent="0.2">
      <c r="B162" s="14"/>
      <c r="C162" s="13"/>
      <c r="D162" s="14"/>
      <c r="E162" s="130"/>
      <c r="F162" s="14"/>
      <c r="G162" s="14"/>
      <c r="H162" s="150" t="s">
        <v>164</v>
      </c>
      <c r="I162" s="150" t="s">
        <v>163</v>
      </c>
      <c r="J162" s="14"/>
      <c r="K162" s="14"/>
      <c r="L162" s="14"/>
      <c r="M162" s="14"/>
      <c r="N162" s="150" t="s">
        <v>164</v>
      </c>
      <c r="O162" s="150" t="s">
        <v>164</v>
      </c>
      <c r="P162" s="150" t="s">
        <v>164</v>
      </c>
      <c r="Q162" s="150" t="s">
        <v>164</v>
      </c>
      <c r="R162" s="150" t="s">
        <v>164</v>
      </c>
      <c r="S162" s="150" t="s">
        <v>164</v>
      </c>
      <c r="T162" s="150" t="s">
        <v>163</v>
      </c>
      <c r="U162" s="31"/>
      <c r="V162" s="14"/>
    </row>
    <row r="163" spans="2:22" ht="6.75" customHeight="1" x14ac:dyDescent="0.2">
      <c r="B163" s="14"/>
      <c r="C163" s="13"/>
      <c r="D163" s="14"/>
      <c r="E163" s="130"/>
      <c r="F163" s="14"/>
      <c r="G163" s="14"/>
      <c r="H163" s="150"/>
      <c r="I163" s="150"/>
      <c r="J163" s="14"/>
      <c r="K163" s="14"/>
      <c r="L163" s="14"/>
      <c r="M163" s="14"/>
      <c r="N163" s="150"/>
      <c r="O163" s="150"/>
      <c r="P163" s="150"/>
      <c r="Q163" s="150"/>
      <c r="R163" s="150"/>
      <c r="S163" s="150"/>
      <c r="T163" s="150"/>
      <c r="U163" s="31"/>
      <c r="V163" s="14"/>
    </row>
    <row r="164" spans="2:22" ht="12.75" customHeight="1" x14ac:dyDescent="0.2">
      <c r="B164" s="14"/>
      <c r="C164" s="13"/>
      <c r="D164" s="14"/>
      <c r="E164" s="130" t="s">
        <v>117</v>
      </c>
      <c r="F164" s="14"/>
      <c r="G164" s="14"/>
      <c r="H164" s="150"/>
      <c r="I164" s="150"/>
      <c r="J164" s="14"/>
      <c r="K164" s="14"/>
      <c r="L164" s="14"/>
      <c r="M164" s="14"/>
      <c r="N164" s="150"/>
      <c r="O164" s="150"/>
      <c r="P164" s="150"/>
      <c r="Q164" s="150"/>
      <c r="R164" s="150"/>
      <c r="S164" s="150"/>
      <c r="T164" s="150"/>
      <c r="U164" s="31"/>
      <c r="V164" s="14"/>
    </row>
    <row r="165" spans="2:22" ht="12" customHeight="1" x14ac:dyDescent="0.2">
      <c r="B165" s="14"/>
      <c r="C165" s="13"/>
      <c r="D165" s="19"/>
      <c r="E165" s="140" t="s">
        <v>118</v>
      </c>
      <c r="F165" s="141"/>
      <c r="G165" s="141"/>
      <c r="H165" s="138">
        <f>(('[6]Note 23 (L&amp;B)'!$D$26+'[6]Note 23 (L&amp;B)'!$E$26)*1000)+R165-S165</f>
        <v>91011499.999999985</v>
      </c>
      <c r="I165" s="138">
        <v>0</v>
      </c>
      <c r="J165" s="14"/>
      <c r="K165" s="14"/>
      <c r="L165" s="14"/>
      <c r="M165" s="14"/>
      <c r="N165" s="138">
        <v>0</v>
      </c>
      <c r="O165" s="138">
        <v>0</v>
      </c>
      <c r="P165" s="138">
        <v>0</v>
      </c>
      <c r="Q165" s="138">
        <v>0</v>
      </c>
      <c r="R165" s="139">
        <f>SUM(N165:Q165)</f>
        <v>0</v>
      </c>
      <c r="S165" s="138">
        <v>0</v>
      </c>
      <c r="T165" s="215" t="str">
        <f t="shared" ref="T165:T170" si="0">IFERROR(O165/S165,"")</f>
        <v/>
      </c>
      <c r="U165" s="31"/>
      <c r="V165" s="14"/>
    </row>
    <row r="166" spans="2:22" ht="12" customHeight="1" x14ac:dyDescent="0.2">
      <c r="B166" s="14"/>
      <c r="C166" s="13"/>
      <c r="D166" s="19"/>
      <c r="E166" s="140" t="s">
        <v>119</v>
      </c>
      <c r="F166" s="141"/>
      <c r="G166" s="141"/>
      <c r="H166" s="142">
        <f>(('[6]Note 23 (L&amp;B)'!$F$26*1000)+'[7]WIP Fixed Asset Register'!$H$9)+R166-S166</f>
        <v>155000</v>
      </c>
      <c r="I166" s="142">
        <v>0</v>
      </c>
      <c r="J166" s="14"/>
      <c r="K166" s="14"/>
      <c r="L166" s="14"/>
      <c r="M166" s="14"/>
      <c r="N166" s="142">
        <v>0</v>
      </c>
      <c r="O166" s="142">
        <v>0</v>
      </c>
      <c r="P166" s="142">
        <v>0</v>
      </c>
      <c r="Q166" s="142">
        <f>GETPIVOTDATA("Sum of 2017/18",'[4]ESC Cap Wks'!$A$3,"ACCOUNT NAME","Plan for redevelopment of Council freehold land","Statement of Capital Works - Asset Class","Land improvements","Statement of Capital Works - N/R/U","Asset upgrade expenditure")</f>
        <v>75505</v>
      </c>
      <c r="R166" s="143">
        <f t="shared" ref="R166:R187" si="1">SUM(N166:Q166)</f>
        <v>75505</v>
      </c>
      <c r="S166" s="142">
        <v>0</v>
      </c>
      <c r="T166" s="216" t="str">
        <f t="shared" si="0"/>
        <v/>
      </c>
      <c r="U166" s="31"/>
      <c r="V166" s="14"/>
    </row>
    <row r="167" spans="2:22" ht="12" customHeight="1" x14ac:dyDescent="0.2">
      <c r="B167" s="14"/>
      <c r="C167" s="13"/>
      <c r="D167" s="19"/>
      <c r="E167" s="140" t="s">
        <v>120</v>
      </c>
      <c r="F167" s="141"/>
      <c r="G167" s="141"/>
      <c r="H167" s="142">
        <f>(('[6]Note 23 (L&amp;B)'!$J$26*1000)+'[7]WIP Fixed Asset Register'!$H$10+'[7]WIP Fixed Asset Register'!$H$11)+R167-S167</f>
        <v>15858985.880333718</v>
      </c>
      <c r="I167" s="491">
        <v>0.12</v>
      </c>
      <c r="J167" s="14"/>
      <c r="K167" s="14"/>
      <c r="L167" s="14"/>
      <c r="M167" s="14"/>
      <c r="N167" s="142">
        <f>(0.35*(0.5*GETPIVOTDATA("Sum of 2017/18",'[4]ESC Cap Wks'!$A$3,"ACCOUNT NAME","Develop Stage 2 of the Queenscliff Sports &amp; Recreation Precinct Development Plan","Statement of Capital Works - Asset Class","50% Buildings, 47% RL&amp;CF, 3% Roads","Statement of Capital Works - N/R/U","15% renewal, 50% upgrade, 35% new")))+(0.25*(0.5*(SUM('[4]ESC Cap Wks'!$C$17:$C$18))))+(0.85*(0.85*GETPIVOTDATA("Sum of 2017/18",'[4]ESC Cap Wks'!$A$3,"ACCOUNT NAME","Destination Queenscliff Project Management","Statement of Capital Works - Asset Class","85% Buildings, 15% Car Parks","Statement of Capital Works - N/R/U","85% New, 15% Upgrade")))+(SUM(GETPIVOTDATA("Sum of 2017/18",'[4]ESC Cap Wks'!$A$3,"ACCOUNT NAME","New decking at the Queenscliffe Neighbourhood House","Statement of Capital Works - Asset Class","Buildings","Statement of Capital Works - N/R/U","New asset expenditure"),GETPIVOTDATA("Sum of 2017/18",'[4]ESC Cap Wks'!$A$3,"ACCOUNT NAME","Town hall upgrade including solar panels","Statement of Capital Works - Asset Class","Buildings","Statement of Capital Works - N/R/U","New asset expenditure")))-'[8]After meeting with Lenny 300517'!$D$9</f>
        <v>391730.84524999995</v>
      </c>
      <c r="O167" s="142">
        <f>(0.15*(0.5*GETPIVOTDATA("Sum of 2017/18",'[4]ESC Cap Wks'!$A$3,"ACCOUNT NAME","Develop Stage 2 of the Queenscliff Sports &amp; Recreation Precinct Development Plan","Statement of Capital Works - Asset Class","50% Buildings, 47% RL&amp;CF, 3% Roads","Statement of Capital Works - N/R/U","15% renewal, 50% upgrade, 35% new")))+(0.6*(0.5*(SUM('[4]ESC Cap Wks'!$C$17:$C$18))))+(SUM('[4]ESC Cap Wks'!$C$33:$C$36))</f>
        <v>378490.37225000001</v>
      </c>
      <c r="P167" s="142">
        <v>0</v>
      </c>
      <c r="Q167" s="142">
        <f>(0.5*(0.5*GETPIVOTDATA("Sum of 2017/18",'[4]ESC Cap Wks'!$A$3,"ACCOUNT NAME","Develop Stage 2 of the Queenscliff Sports &amp; Recreation Precinct Development Plan","Statement of Capital Works - Asset Class","50% Buildings, 47% RL&amp;CF, 3% Roads","Statement of Capital Works - N/R/U","15% renewal, 50% upgrade, 35% new")))+(0.15*(0.5*(SUM('[4]ESC Cap Wks'!$C$17:$C$18))))+(0.85*(0.15*GETPIVOTDATA("Sum of 2017/18",'[4]ESC Cap Wks'!$A$3,"ACCOUNT NAME","Destination Queenscliff Project Management","Statement of Capital Works - Asset Class","85% Buildings, 15% Car Parks","Statement of Capital Works - N/R/U","85% New, 15% Upgrade")))+GETPIVOTDATA("Sum of 2017/18",'[4]ESC Cap Wks'!$A$3,"ACCOUNT NAME","Queenscliffe Cultural Hub","Statement of Capital Works - Asset Class","Buildings","Statement of Capital Works - N/R/U","Asset upgrade expenditure")</f>
        <v>478041.8075</v>
      </c>
      <c r="R167" s="143">
        <f t="shared" si="1"/>
        <v>1248263.0249999999</v>
      </c>
      <c r="S167" s="138">
        <f>'[4]ESC Depn by Class'!$D$14+'[4]ESC Depn by Class'!$D$15</f>
        <v>529799.24080000003</v>
      </c>
      <c r="T167" s="216">
        <f t="shared" si="0"/>
        <v>0.71440338736325348</v>
      </c>
      <c r="U167" s="31"/>
      <c r="V167" s="14"/>
    </row>
    <row r="168" spans="2:22" ht="12" customHeight="1" x14ac:dyDescent="0.2">
      <c r="B168" s="14"/>
      <c r="C168" s="13"/>
      <c r="D168" s="19"/>
      <c r="E168" s="140" t="s">
        <v>121</v>
      </c>
      <c r="F168" s="141"/>
      <c r="G168" s="141"/>
      <c r="H168" s="142">
        <v>0</v>
      </c>
      <c r="I168" s="142">
        <v>0</v>
      </c>
      <c r="J168" s="14"/>
      <c r="K168" s="14"/>
      <c r="L168" s="14"/>
      <c r="M168" s="14"/>
      <c r="N168" s="142">
        <v>0</v>
      </c>
      <c r="O168" s="142">
        <v>0</v>
      </c>
      <c r="P168" s="142">
        <v>0</v>
      </c>
      <c r="Q168" s="142">
        <v>0</v>
      </c>
      <c r="R168" s="143">
        <f t="shared" si="1"/>
        <v>0</v>
      </c>
      <c r="S168" s="142">
        <v>0</v>
      </c>
      <c r="T168" s="216" t="str">
        <f t="shared" si="0"/>
        <v/>
      </c>
      <c r="U168" s="31"/>
      <c r="V168" s="14"/>
    </row>
    <row r="169" spans="2:22" ht="12" customHeight="1" x14ac:dyDescent="0.2">
      <c r="B169" s="14"/>
      <c r="C169" s="13"/>
      <c r="D169" s="19"/>
      <c r="E169" s="140" t="s">
        <v>122</v>
      </c>
      <c r="F169" s="141"/>
      <c r="G169" s="141"/>
      <c r="H169" s="142">
        <v>0</v>
      </c>
      <c r="I169" s="142">
        <v>0</v>
      </c>
      <c r="J169" s="14"/>
      <c r="K169" s="14"/>
      <c r="L169" s="14"/>
      <c r="M169" s="14"/>
      <c r="N169" s="142">
        <v>0</v>
      </c>
      <c r="O169" s="142">
        <v>0</v>
      </c>
      <c r="P169" s="142">
        <v>0</v>
      </c>
      <c r="Q169" s="142">
        <v>0</v>
      </c>
      <c r="R169" s="143">
        <f t="shared" si="1"/>
        <v>0</v>
      </c>
      <c r="S169" s="142">
        <v>0</v>
      </c>
      <c r="T169" s="216" t="str">
        <f t="shared" si="0"/>
        <v/>
      </c>
      <c r="U169" s="31"/>
      <c r="V169" s="14"/>
    </row>
    <row r="170" spans="2:22" x14ac:dyDescent="0.2">
      <c r="B170" s="14"/>
      <c r="C170" s="13"/>
      <c r="D170" s="14"/>
      <c r="E170" s="140" t="s">
        <v>123</v>
      </c>
      <c r="F170" s="141"/>
      <c r="G170" s="141"/>
      <c r="H170" s="142">
        <v>0</v>
      </c>
      <c r="I170" s="142">
        <v>0</v>
      </c>
      <c r="J170" s="14"/>
      <c r="K170" s="14"/>
      <c r="L170" s="14"/>
      <c r="M170" s="14"/>
      <c r="N170" s="142">
        <v>0</v>
      </c>
      <c r="O170" s="142">
        <v>0</v>
      </c>
      <c r="P170" s="142">
        <v>0</v>
      </c>
      <c r="Q170" s="142">
        <v>0</v>
      </c>
      <c r="R170" s="143">
        <f t="shared" si="1"/>
        <v>0</v>
      </c>
      <c r="S170" s="142">
        <v>0</v>
      </c>
      <c r="T170" s="216" t="str">
        <f t="shared" si="0"/>
        <v/>
      </c>
      <c r="U170" s="31"/>
      <c r="V170" s="14"/>
    </row>
    <row r="171" spans="2:22" ht="12.6" customHeight="1" x14ac:dyDescent="0.2">
      <c r="B171" s="14"/>
      <c r="C171" s="13"/>
      <c r="D171" s="14"/>
      <c r="E171" s="144" t="s">
        <v>124</v>
      </c>
      <c r="F171" s="141"/>
      <c r="G171" s="141"/>
      <c r="H171" s="141"/>
      <c r="I171" s="141"/>
      <c r="J171" s="14"/>
      <c r="K171" s="14"/>
      <c r="L171" s="14"/>
      <c r="M171" s="14"/>
      <c r="N171" s="141"/>
      <c r="O171" s="141"/>
      <c r="P171" s="141"/>
      <c r="Q171" s="141"/>
      <c r="R171" s="141"/>
      <c r="S171" s="141"/>
      <c r="T171" s="217"/>
      <c r="U171" s="131"/>
      <c r="V171" s="30"/>
    </row>
    <row r="172" spans="2:22" x14ac:dyDescent="0.2">
      <c r="B172" s="14"/>
      <c r="C172" s="13"/>
      <c r="D172" s="19"/>
      <c r="E172" s="140" t="s">
        <v>125</v>
      </c>
      <c r="F172" s="141"/>
      <c r="G172" s="141"/>
      <c r="H172" s="142">
        <v>0</v>
      </c>
      <c r="I172" s="142">
        <v>0</v>
      </c>
      <c r="J172" s="14"/>
      <c r="K172" s="14"/>
      <c r="L172" s="14"/>
      <c r="M172" s="14"/>
      <c r="N172" s="142">
        <v>0</v>
      </c>
      <c r="O172" s="142">
        <v>0</v>
      </c>
      <c r="P172" s="142">
        <v>0</v>
      </c>
      <c r="Q172" s="142">
        <v>0</v>
      </c>
      <c r="R172" s="143">
        <f t="shared" si="1"/>
        <v>0</v>
      </c>
      <c r="S172" s="142">
        <v>0</v>
      </c>
      <c r="T172" s="216" t="str">
        <f t="shared" ref="T172:T187" si="2">IFERROR(O172/S172,"")</f>
        <v/>
      </c>
      <c r="U172" s="31"/>
      <c r="V172" s="14"/>
    </row>
    <row r="173" spans="2:22" x14ac:dyDescent="0.2">
      <c r="B173" s="14"/>
      <c r="C173" s="13"/>
      <c r="D173" s="19"/>
      <c r="E173" s="140" t="s">
        <v>126</v>
      </c>
      <c r="F173" s="141"/>
      <c r="G173" s="141"/>
      <c r="H173" s="142">
        <f>('[6]Note 23 (P&amp;E)'!$D$26*1000)+R173-S173</f>
        <v>402701.21228511876</v>
      </c>
      <c r="I173" s="491">
        <v>0</v>
      </c>
      <c r="J173" s="14"/>
      <c r="K173" s="14"/>
      <c r="L173" s="14"/>
      <c r="M173" s="14"/>
      <c r="N173" s="142">
        <v>0</v>
      </c>
      <c r="O173" s="142">
        <f>(SUM('[4]ESC Cap Wks'!$C$126:$C$128))</f>
        <v>165000</v>
      </c>
      <c r="P173" s="142">
        <v>0</v>
      </c>
      <c r="Q173" s="142">
        <v>0</v>
      </c>
      <c r="R173" s="143">
        <f t="shared" si="1"/>
        <v>165000</v>
      </c>
      <c r="S173" s="138">
        <f>'[4]ESC Depn by Class'!$D$13</f>
        <v>85100</v>
      </c>
      <c r="T173" s="216">
        <f t="shared" si="2"/>
        <v>1.9388954171562867</v>
      </c>
      <c r="U173" s="31"/>
      <c r="V173" s="14"/>
    </row>
    <row r="174" spans="2:22" x14ac:dyDescent="0.2">
      <c r="B174" s="14"/>
      <c r="C174" s="13"/>
      <c r="D174" s="19"/>
      <c r="E174" s="140" t="s">
        <v>127</v>
      </c>
      <c r="F174" s="141"/>
      <c r="G174" s="141"/>
      <c r="H174" s="142">
        <f>('[6]Note 23 (P&amp;E)'!$E$26*1000)+R174-S174</f>
        <v>63354.922219178174</v>
      </c>
      <c r="I174" s="491">
        <v>0.05</v>
      </c>
      <c r="J174" s="14"/>
      <c r="K174" s="14"/>
      <c r="L174" s="14"/>
      <c r="M174" s="14"/>
      <c r="N174" s="142">
        <v>0</v>
      </c>
      <c r="O174" s="142">
        <f>GETPIVOTDATA("Sum of 2017/18",'[4]ESC Cap Wks'!$A$3,"ACCOUNT NAME","Annual Renewal Program - Renewal Other Assets - Renewal fixtures and fittings","Statement of Capital Works - Asset Class","Fixtures, fittings and furniture","Statement of Capital Works - N/R/U","Asset renewal expenditure")</f>
        <v>5000</v>
      </c>
      <c r="P174" s="142">
        <v>0</v>
      </c>
      <c r="Q174" s="142">
        <v>0</v>
      </c>
      <c r="R174" s="143">
        <f t="shared" si="1"/>
        <v>5000</v>
      </c>
      <c r="S174" s="142">
        <f>'[4]ESC Depn by Class'!$D$12</f>
        <v>29200</v>
      </c>
      <c r="T174" s="216">
        <f t="shared" si="2"/>
        <v>0.17123287671232876</v>
      </c>
      <c r="U174" s="31"/>
      <c r="V174" s="14"/>
    </row>
    <row r="175" spans="2:22" x14ac:dyDescent="0.2">
      <c r="B175" s="14"/>
      <c r="C175" s="13"/>
      <c r="D175" s="19"/>
      <c r="E175" s="140" t="s">
        <v>128</v>
      </c>
      <c r="F175" s="141"/>
      <c r="G175" s="141"/>
      <c r="H175" s="142">
        <f>(('[6]Note 23 (P&amp;E)'!$F$26*1000)+'[7]WIP Fixed Asset Register'!$H$32)+R175-S175</f>
        <v>306145.28515169967</v>
      </c>
      <c r="I175" s="491">
        <v>0</v>
      </c>
      <c r="J175" s="14"/>
      <c r="K175" s="14"/>
      <c r="L175" s="14"/>
      <c r="M175" s="14"/>
      <c r="N175" s="142">
        <v>0</v>
      </c>
      <c r="O175" s="142">
        <f>GETPIVOTDATA("Sum of 2017/18",'[4]ESC Cap Wks'!$A$3,"ACCOUNT NAME","Annual Renewal Program - Renewal Other Assets - Renewal computer and telephone equipment","Statement of Capital Works - Asset Class","Computers and telecommunications","Statement of Capital Works - N/R/U","Asset renewal expenditure")</f>
        <v>30000</v>
      </c>
      <c r="P175" s="142">
        <v>0</v>
      </c>
      <c r="Q175" s="142">
        <v>0</v>
      </c>
      <c r="R175" s="143">
        <f t="shared" si="1"/>
        <v>30000</v>
      </c>
      <c r="S175" s="138">
        <f>'[4]ESC Depn by Class'!$D$11</f>
        <v>18400</v>
      </c>
      <c r="T175" s="216">
        <f t="shared" si="2"/>
        <v>1.6304347826086956</v>
      </c>
      <c r="U175" s="31"/>
      <c r="V175" s="14"/>
    </row>
    <row r="176" spans="2:22" x14ac:dyDescent="0.2">
      <c r="B176" s="14"/>
      <c r="C176" s="13"/>
      <c r="D176" s="19"/>
      <c r="E176" s="140" t="s">
        <v>129</v>
      </c>
      <c r="F176" s="141"/>
      <c r="G176" s="141"/>
      <c r="H176" s="142"/>
      <c r="I176" s="142">
        <v>0</v>
      </c>
      <c r="J176" s="14"/>
      <c r="K176" s="14"/>
      <c r="L176" s="14"/>
      <c r="M176" s="14"/>
      <c r="N176" s="142">
        <v>0</v>
      </c>
      <c r="O176" s="142">
        <v>0</v>
      </c>
      <c r="P176" s="142">
        <v>0</v>
      </c>
      <c r="Q176" s="142">
        <v>0</v>
      </c>
      <c r="R176" s="143">
        <f t="shared" si="1"/>
        <v>0</v>
      </c>
      <c r="S176" s="142">
        <v>0</v>
      </c>
      <c r="T176" s="216" t="str">
        <f t="shared" si="2"/>
        <v/>
      </c>
      <c r="U176" s="31"/>
      <c r="V176" s="14"/>
    </row>
    <row r="177" spans="2:22" x14ac:dyDescent="0.2">
      <c r="B177" s="14"/>
      <c r="C177" s="13"/>
      <c r="D177" s="19"/>
      <c r="E177" s="144" t="s">
        <v>130</v>
      </c>
      <c r="F177" s="141"/>
      <c r="G177" s="141"/>
      <c r="H177" s="141"/>
      <c r="I177" s="141"/>
      <c r="J177" s="14"/>
      <c r="K177" s="14"/>
      <c r="L177" s="14"/>
      <c r="M177" s="14"/>
      <c r="N177" s="141"/>
      <c r="O177" s="141"/>
      <c r="P177" s="141"/>
      <c r="Q177" s="141"/>
      <c r="R177" s="141"/>
      <c r="S177" s="141"/>
      <c r="T177" s="217"/>
      <c r="U177" s="31"/>
      <c r="V177" s="14"/>
    </row>
    <row r="178" spans="2:22" x14ac:dyDescent="0.2">
      <c r="B178" s="14"/>
      <c r="C178" s="13"/>
      <c r="D178" s="19"/>
      <c r="E178" s="140" t="s">
        <v>131</v>
      </c>
      <c r="F178" s="141"/>
      <c r="G178" s="141"/>
      <c r="H178" s="142">
        <f>(('[6]Note 23 (Infra)'!$D$27*1000)+'[7]WIP Fixed Asset Register'!$H$18)+R178-S178</f>
        <v>11596555.924304137</v>
      </c>
      <c r="I178" s="491">
        <v>0.05</v>
      </c>
      <c r="J178" s="14"/>
      <c r="K178" s="14"/>
      <c r="L178" s="14"/>
      <c r="M178" s="14"/>
      <c r="N178" s="142">
        <f>(0.35*(0.03*GETPIVOTDATA("Sum of 2017/18",'[4]ESC Cap Wks'!$A$3,"ACCOUNT NAME","Develop Stage 2 of the Queenscliff Sports &amp; Recreation Precinct Development Plan","Statement of Capital Works - Asset Class","50% Buildings, 47% RL&amp;CF, 3% Roads","Statement of Capital Works - N/R/U","15% renewal, 50% upgrade, 35% new")))+GETPIVOTDATA("Sum of 2017/18",'[4]ESC Cap Wks'!$A$3,"ACCOUNT NAME","Construction of School Crossing - St. Aloysius Primary School","Statement of Capital Works - Asset Class","Roads","Statement of Capital Works - N/R/U","New asset expenditure")-'[8]After meeting with Lenny 300517'!$D$6</f>
        <v>14306.535915</v>
      </c>
      <c r="O178" s="142">
        <f>(0.4*(0.4*GETPIVOTDATA("Sum of 2017/18",'[4]ESC Cap Wks'!$A$3,"ACCOUNT NAME","Harbour Street Path, Road &amp; Drainage Improvements","Statement of Capital Works - Asset Class","40% Roads, 40% Footpaths and cycleways, 20% Drainage","Statement of Capital Works - N/R/U","40% renewal, 60% upgrade")))+(0.15*(0.03*GETPIVOTDATA("Sum of 2017/18",'[4]ESC Cap Wks'!$A$3,"ACCOUNT NAME","Develop Stage 2 of the Queenscliff Sports &amp; Recreation Precinct Development Plan","Statement of Capital Works - Asset Class","50% Buildings, 47% RL&amp;CF, 3% Roads","Statement of Capital Works - N/R/U","15% renewal, 50% upgrade, 35% new")))+(SUM('[4]ESC Cap Wks'!$C$148:$C$154))</f>
        <v>360231.37253499997</v>
      </c>
      <c r="P178" s="142">
        <v>0</v>
      </c>
      <c r="Q178" s="142">
        <f>(0.4*(0.6*GETPIVOTDATA("Sum of 2017/18",'[4]ESC Cap Wks'!$A$3,"ACCOUNT NAME","Harbour Street Path, Road &amp; Drainage Improvements","Statement of Capital Works - Asset Class","40% Roads, 40% Footpaths and cycleways, 20% Drainage","Statement of Capital Works - N/R/U","40% renewal, 60% upgrade")))+(0.5*(0.03*GETPIVOTDATA("Sum of 2017/18",'[4]ESC Cap Wks'!$A$3,"ACCOUNT NAME","Develop Stage 2 of the Queenscliff Sports &amp; Recreation Precinct Development Plan","Statement of Capital Works - Asset Class","50% Buildings, 47% RL&amp;CF, 3% Roads","Statement of Capital Works - N/R/U","15% renewal, 50% upgrade, 35% new")))+GETPIVOTDATA("Sum of 2017/18",'[4]ESC Cap Wks'!$A$3,"ACCOUNT NAME","Hesse Street Streetscape","Statement of Capital Works - Asset Class","Roads","Statement of Capital Works - N/R/U","Asset upgrade expenditure")</f>
        <v>79637.908450000003</v>
      </c>
      <c r="R178" s="143">
        <f t="shared" si="1"/>
        <v>454175.81689999998</v>
      </c>
      <c r="S178" s="138">
        <f>'[4]ESC Depn by Class'!$D$7+'[4]ESC Depn by Class'!$D$8</f>
        <v>254500</v>
      </c>
      <c r="T178" s="216">
        <f t="shared" si="2"/>
        <v>1.4154474362868368</v>
      </c>
      <c r="U178" s="31"/>
      <c r="V178" s="14"/>
    </row>
    <row r="179" spans="2:22" x14ac:dyDescent="0.2">
      <c r="B179" s="14"/>
      <c r="C179" s="13"/>
      <c r="D179" s="19"/>
      <c r="E179" s="140" t="s">
        <v>132</v>
      </c>
      <c r="F179" s="141"/>
      <c r="G179" s="141"/>
      <c r="H179" s="142">
        <v>0</v>
      </c>
      <c r="I179" s="491">
        <v>0</v>
      </c>
      <c r="J179" s="14"/>
      <c r="K179" s="14"/>
      <c r="L179" s="14"/>
      <c r="M179" s="14"/>
      <c r="N179" s="142">
        <v>0</v>
      </c>
      <c r="O179" s="142">
        <v>0</v>
      </c>
      <c r="P179" s="142">
        <v>0</v>
      </c>
      <c r="Q179" s="142">
        <v>0</v>
      </c>
      <c r="R179" s="143">
        <f t="shared" si="1"/>
        <v>0</v>
      </c>
      <c r="S179" s="138">
        <v>0</v>
      </c>
      <c r="T179" s="216" t="str">
        <f t="shared" si="2"/>
        <v/>
      </c>
      <c r="U179" s="31"/>
      <c r="V179" s="14"/>
    </row>
    <row r="180" spans="2:22" x14ac:dyDescent="0.2">
      <c r="B180" s="14"/>
      <c r="C180" s="13"/>
      <c r="D180" s="19"/>
      <c r="E180" s="140" t="s">
        <v>133</v>
      </c>
      <c r="F180" s="141"/>
      <c r="G180" s="141"/>
      <c r="H180" s="142">
        <f>('[6]Note 23 (Infra)'!$E$27*1000)+R180-S180</f>
        <v>1041334.0129316943</v>
      </c>
      <c r="I180" s="491">
        <v>0.1</v>
      </c>
      <c r="J180" s="14"/>
      <c r="K180" s="14"/>
      <c r="L180" s="14"/>
      <c r="M180" s="14"/>
      <c r="N180" s="142">
        <v>0</v>
      </c>
      <c r="O180" s="142">
        <f>(0.4*(0.4*GETPIVOTDATA("Sum of 2017/18",'[4]ESC Cap Wks'!$A$3,"ACCOUNT NAME","Harbour Street Path, Road &amp; Drainage Improvements","Statement of Capital Works - Asset Class","40% Roads, 40% Footpaths and cycleways, 20% Drainage","Statement of Capital Works - N/R/U","40% renewal, 60% upgrade")))+(0.5*GETPIVOTDATA("Sum of 2017/18",'[4]ESC Cap Wks'!$A$3,"ACCOUNT NAME","Footpath Strategy","Statement of Capital Works - Asset Class","Footpaths and cycleways","Statement of Capital Works - N/R/U","50% renewal, 50% upgrade"))+GETPIVOTDATA("Sum of 2017/18",'[4]ESC Cap Wks'!$A$3,"ACCOUNT NAME","Annual Renewal Program - Renewal Infrastructure - Renewal Footpaths","Statement of Capital Works - Asset Class","Footpaths and cycleways","Statement of Capital Works - N/R/U","Asset renewal expenditure")</f>
        <v>34800</v>
      </c>
      <c r="P180" s="142">
        <v>0</v>
      </c>
      <c r="Q180" s="142">
        <f>(0.4*(0.6*GETPIVOTDATA("Sum of 2017/18",'[4]ESC Cap Wks'!$A$3,"ACCOUNT NAME","Harbour Street Path, Road &amp; Drainage Improvements","Statement of Capital Works - Asset Class","40% Roads, 40% Footpaths and cycleways, 20% Drainage","Statement of Capital Works - N/R/U","40% renewal, 60% upgrade")))+(0.5*GETPIVOTDATA("Sum of 2017/18",'[4]ESC Cap Wks'!$A$3,"ACCOUNT NAME","Footpath Strategy","Statement of Capital Works - Asset Class","Footpaths and cycleways","Statement of Capital Works - N/R/U","50% renewal, 50% upgrade"))</f>
        <v>29200</v>
      </c>
      <c r="R180" s="143">
        <f t="shared" si="1"/>
        <v>64000</v>
      </c>
      <c r="S180" s="138">
        <f>'[4]ESC Depn by Class'!$D$5</f>
        <v>30000</v>
      </c>
      <c r="T180" s="216">
        <f t="shared" si="2"/>
        <v>1.1599999999999999</v>
      </c>
      <c r="U180" s="31"/>
      <c r="V180" s="14"/>
    </row>
    <row r="181" spans="2:22" x14ac:dyDescent="0.2">
      <c r="B181" s="14"/>
      <c r="C181" s="13"/>
      <c r="D181" s="19"/>
      <c r="E181" s="140" t="s">
        <v>134</v>
      </c>
      <c r="F181" s="141"/>
      <c r="G181" s="141"/>
      <c r="H181" s="142">
        <f>('[6]Note 23 (Infra)'!$F$27*1000)+R181-S181</f>
        <v>2384204.9331474127</v>
      </c>
      <c r="I181" s="491">
        <v>0.05</v>
      </c>
      <c r="J181" s="14"/>
      <c r="K181" s="14"/>
      <c r="L181" s="14"/>
      <c r="M181" s="14"/>
      <c r="N181" s="142">
        <v>0</v>
      </c>
      <c r="O181" s="142">
        <f>(0.2*(0.4*GETPIVOTDATA("Sum of 2017/18",'[4]ESC Cap Wks'!$A$3,"ACCOUNT NAME","Harbour Street Path, Road &amp; Drainage Improvements","Statement of Capital Works - Asset Class","40% Roads, 40% Footpaths and cycleways, 20% Drainage","Statement of Capital Works - N/R/U","40% renewal, 60% upgrade")))+GETPIVOTDATA("Sum of 2017/18",'[4]ESC Cap Wks'!$A$3,"ACCOUNT NAME","Annual Renewal Program - Renewal Infrastructure - Renewal Drainage","Statement of Capital Works - Asset Class","Drainage","Statement of Capital Works - N/R/U","Asset renewal expenditure")</f>
        <v>57100</v>
      </c>
      <c r="P181" s="142">
        <v>0</v>
      </c>
      <c r="Q181" s="142">
        <f>(0.2*(0.6*GETPIVOTDATA("Sum of 2017/18",'[4]ESC Cap Wks'!$A$3,"ACCOUNT NAME","Harbour Street Path, Road &amp; Drainage Improvements","Statement of Capital Works - Asset Class","40% Roads, 40% Footpaths and cycleways, 20% Drainage","Statement of Capital Works - N/R/U","40% renewal, 60% upgrade")))</f>
        <v>9600</v>
      </c>
      <c r="R181" s="143">
        <f t="shared" si="1"/>
        <v>66700</v>
      </c>
      <c r="S181" s="138">
        <f>'[4]ESC Depn by Class'!$D$4</f>
        <v>44600</v>
      </c>
      <c r="T181" s="216">
        <f t="shared" si="2"/>
        <v>1.2802690582959642</v>
      </c>
      <c r="U181" s="31"/>
      <c r="V181" s="14"/>
    </row>
    <row r="182" spans="2:22" ht="25.5" x14ac:dyDescent="0.2">
      <c r="B182" s="14"/>
      <c r="C182" s="13"/>
      <c r="D182" s="19"/>
      <c r="E182" s="140" t="s">
        <v>135</v>
      </c>
      <c r="F182" s="141"/>
      <c r="G182" s="141"/>
      <c r="H182" s="142">
        <f>(('[6]Note 23 (Infra)'!$G$27*1000)+(SUM('[7]WIP Fixed Asset Register'!$H$20:$H$22)))+R182-S182</f>
        <v>2601251.7831558902</v>
      </c>
      <c r="I182" s="491">
        <v>0.15</v>
      </c>
      <c r="J182" s="14"/>
      <c r="K182" s="14"/>
      <c r="L182" s="14"/>
      <c r="M182" s="14"/>
      <c r="N182" s="142">
        <f>(0.35*(0.47*GETPIVOTDATA("Sum of 2017/18",'[4]ESC Cap Wks'!$A$3,"ACCOUNT NAME","Develop Stage 2 of the Queenscliff Sports &amp; Recreation Precinct Development Plan","Statement of Capital Works - Asset Class","50% Buildings, 47% RL&amp;CF, 3% Roads","Statement of Capital Works - N/R/U","15% renewal, 50% upgrade, 35% new")))+(0.25*(0.5*(SUM('[4]ESC Cap Wks'!$C$17:$C$18))))</f>
        <v>249298.22933499995</v>
      </c>
      <c r="O182" s="142">
        <f>(0.15*(0.47*GETPIVOTDATA("Sum of 2017/18",'[4]ESC Cap Wks'!$A$3,"ACCOUNT NAME","Develop Stage 2 of the Queenscliff Sports &amp; Recreation Precinct Development Plan","Statement of Capital Works - Asset Class","50% Buildings, 47% RL&amp;CF, 3% Roads","Statement of Capital Works - N/R/U","15% renewal, 50% upgrade, 35% new")))+(0.6*(0.5*(SUM('[4]ESC Cap Wks'!$C$17:$C$18))))+(SUM('[4]ESC Cap Wks'!$C$133:$C$137))</f>
        <v>206448.16971499997</v>
      </c>
      <c r="P182" s="142">
        <v>0</v>
      </c>
      <c r="Q182" s="142">
        <f>(0.5*(0.47*GETPIVOTDATA("Sum of 2017/18",'[4]ESC Cap Wks'!$A$3,"ACCOUNT NAME","Develop Stage 2 of the Queenscliff Sports &amp; Recreation Precinct Development Plan","Statement of Capital Works - Asset Class","50% Buildings, 47% RL&amp;CF, 3% Roads","Statement of Capital Works - N/R/U","15% renewal, 50% upgrade, 35% new")))+(0.15*(0.5*(SUM('[4]ESC Cap Wks'!$C$17:$C$18))))+GETPIVOTDATA("Sum of 2017/18",'[4]ESC Cap Wks'!$A$3,"ACCOUNT NAME","Plan for park to focus on children and families","Statement of Capital Works - Asset Class","Recreational, leisure and community facilities","Statement of Capital Works - N/R/U","Asset upgrade expenditure")</f>
        <v>375291.39904999995</v>
      </c>
      <c r="R182" s="143">
        <f t="shared" si="1"/>
        <v>831037.79809999978</v>
      </c>
      <c r="S182" s="138">
        <f>'[4]ESC Depn by Class'!$D$9</f>
        <v>91300</v>
      </c>
      <c r="T182" s="216">
        <f t="shared" si="2"/>
        <v>2.2612066781489593</v>
      </c>
      <c r="U182" s="31"/>
      <c r="V182" s="14"/>
    </row>
    <row r="183" spans="2:22" x14ac:dyDescent="0.2">
      <c r="B183" s="14"/>
      <c r="C183" s="13"/>
      <c r="D183" s="19"/>
      <c r="E183" s="140" t="s">
        <v>136</v>
      </c>
      <c r="F183" s="141"/>
      <c r="G183" s="141"/>
      <c r="H183" s="142">
        <f>('[6]Note 23 (Infra)'!$H$27*1000)+R183-S183</f>
        <v>131482.97000000003</v>
      </c>
      <c r="I183" s="142">
        <v>0</v>
      </c>
      <c r="J183" s="14"/>
      <c r="K183" s="14"/>
      <c r="L183" s="14"/>
      <c r="M183" s="14"/>
      <c r="N183" s="142">
        <v>0</v>
      </c>
      <c r="O183" s="142">
        <v>0</v>
      </c>
      <c r="P183" s="142">
        <v>0</v>
      </c>
      <c r="Q183" s="142">
        <v>0</v>
      </c>
      <c r="R183" s="143">
        <f t="shared" si="1"/>
        <v>0</v>
      </c>
      <c r="S183" s="142">
        <f>'[4]ESC Depn by Class'!$D$2</f>
        <v>18500</v>
      </c>
      <c r="T183" s="216">
        <f t="shared" si="2"/>
        <v>0</v>
      </c>
      <c r="U183" s="31"/>
      <c r="V183" s="14"/>
    </row>
    <row r="184" spans="2:22" x14ac:dyDescent="0.2">
      <c r="B184" s="14"/>
      <c r="C184" s="13"/>
      <c r="D184" s="19"/>
      <c r="E184" s="140" t="s">
        <v>137</v>
      </c>
      <c r="F184" s="141"/>
      <c r="G184" s="141"/>
      <c r="H184" s="142">
        <f>(('[6]Note 23 (Infra)'!$I$27*1000)+(SUM('[7]WIP Fixed Asset Register'!$H$24:$H$25)))+R184-S184</f>
        <v>2438269.3290558904</v>
      </c>
      <c r="I184" s="491">
        <v>0.02</v>
      </c>
      <c r="J184" s="14"/>
      <c r="K184" s="14"/>
      <c r="L184" s="14"/>
      <c r="M184" s="14"/>
      <c r="N184" s="142">
        <f>(0.3*GETPIVOTDATA("Sum of 2017/18",'[4]ESC Cap Wks'!$A$3,"ACCOUNT NAME","Destination Queenscliffe Stage 1","Statement of Capital Works - Asset Class","Parks, open space and streetscapes","Statement of Capital Works - N/R/U","60% renewal, 10% upgrade, 30% new"))+(SUM(GETPIVOTDATA("Sum of 2017/18",'[4]ESC Cap Wks'!$A$3,"ACCOUNT NAME","Point Lonsdale Lighthouse Reserve","Statement of Capital Works - Asset Class","Parks, open space and streetscapes","Statement of Capital Works - N/R/U","New asset expenditure"),GETPIVOTDATA("Sum of 2017/18",'[4]ESC Cap Wks'!$A$3,"ACCOUNT NAME","Queenscliff Park Stage 1 Improvements","Statement of Capital Works - Asset Class","Parks, open space and streetscapes","Statement of Capital Works - N/R/U","New asset expenditure")))</f>
        <v>659450.30000000005</v>
      </c>
      <c r="O184" s="142">
        <f>(0.6*GETPIVOTDATA("Sum of 2017/18",'[4]ESC Cap Wks'!$A$3,"ACCOUNT NAME","Destination Queenscliffe Stage 1","Statement of Capital Works - Asset Class","Parks, open space and streetscapes","Statement of Capital Works - N/R/U","60% renewal, 10% upgrade, 30% new"))+(SUM('[4]ESC Cap Wks'!$C$114:$C$116))</f>
        <v>255967.75</v>
      </c>
      <c r="P184" s="142">
        <v>0</v>
      </c>
      <c r="Q184" s="142">
        <f>(0.1*GETPIVOTDATA("Sum of 2017/18",'[4]ESC Cap Wks'!$A$3,"ACCOUNT NAME","Destination Queenscliffe Stage 1","Statement of Capital Works - Asset Class","Parks, open space and streetscapes","Statement of Capital Works - N/R/U","60% renewal, 10% upgrade, 30% new"))</f>
        <v>34895.1</v>
      </c>
      <c r="R184" s="143">
        <f t="shared" si="1"/>
        <v>950313.15</v>
      </c>
      <c r="S184" s="142">
        <f>'[4]ESC Depn by Class'!$D$10</f>
        <v>69800</v>
      </c>
      <c r="T184" s="216">
        <f t="shared" si="2"/>
        <v>3.6671597421203437</v>
      </c>
      <c r="U184" s="31"/>
      <c r="V184" s="14"/>
    </row>
    <row r="185" spans="2:22" x14ac:dyDescent="0.2">
      <c r="B185" s="14"/>
      <c r="C185" s="13"/>
      <c r="D185" s="19"/>
      <c r="E185" s="140" t="s">
        <v>138</v>
      </c>
      <c r="F185" s="141"/>
      <c r="G185" s="141"/>
      <c r="H185" s="142">
        <v>0</v>
      </c>
      <c r="I185" s="491">
        <v>0</v>
      </c>
      <c r="J185" s="14"/>
      <c r="K185" s="14"/>
      <c r="L185" s="14"/>
      <c r="M185" s="14"/>
      <c r="N185" s="142">
        <v>0</v>
      </c>
      <c r="O185" s="142">
        <v>0</v>
      </c>
      <c r="P185" s="142">
        <v>0</v>
      </c>
      <c r="Q185" s="142">
        <v>0</v>
      </c>
      <c r="R185" s="143">
        <f t="shared" si="1"/>
        <v>0</v>
      </c>
      <c r="S185" s="142">
        <v>0</v>
      </c>
      <c r="T185" s="216" t="str">
        <f t="shared" si="2"/>
        <v/>
      </c>
      <c r="U185" s="31"/>
      <c r="V185" s="14"/>
    </row>
    <row r="186" spans="2:22" x14ac:dyDescent="0.2">
      <c r="B186" s="14"/>
      <c r="C186" s="13"/>
      <c r="D186" s="19"/>
      <c r="E186" s="145" t="s">
        <v>139</v>
      </c>
      <c r="F186" s="146"/>
      <c r="G186" s="146"/>
      <c r="H186" s="142">
        <f>('[6]Note 23 (Infra)'!$J$27*1000)+R186-S186</f>
        <v>542427.00240504916</v>
      </c>
      <c r="I186" s="491">
        <v>0</v>
      </c>
      <c r="J186" s="14"/>
      <c r="K186" s="14"/>
      <c r="L186" s="14"/>
      <c r="M186" s="14"/>
      <c r="N186" s="142">
        <f>(0.15*(0.85*GETPIVOTDATA("Sum of 2017/18",'[4]ESC Cap Wks'!$A$3,"ACCOUNT NAME","Destination Queenscliff Project Management","Statement of Capital Works - Asset Class","85% Buildings, 15% Car Parks","Statement of Capital Works - N/R/U","85% New, 15% Upgrade")))</f>
        <v>22312.5</v>
      </c>
      <c r="O186" s="142">
        <v>0</v>
      </c>
      <c r="P186" s="142">
        <v>0</v>
      </c>
      <c r="Q186" s="142">
        <f>(0.15*(0.15*GETPIVOTDATA("Sum of 2017/18",'[4]ESC Cap Wks'!$A$3,"ACCOUNT NAME","Destination Queenscliff Project Management","Statement of Capital Works - Asset Class","85% Buildings, 15% Car Parks","Statement of Capital Works - N/R/U","85% New, 15% Upgrade")))</f>
        <v>3937.5</v>
      </c>
      <c r="R186" s="148">
        <f t="shared" si="1"/>
        <v>26250</v>
      </c>
      <c r="S186" s="147">
        <f>'[4]ESC Depn by Class'!$D$6</f>
        <v>13400</v>
      </c>
      <c r="T186" s="218">
        <f t="shared" si="2"/>
        <v>0</v>
      </c>
      <c r="U186" s="31"/>
      <c r="V186" s="14"/>
    </row>
    <row r="187" spans="2:22" ht="13.5" thickBot="1" x14ac:dyDescent="0.25">
      <c r="B187" s="14"/>
      <c r="C187" s="13"/>
      <c r="D187" s="19"/>
      <c r="E187" s="132" t="s">
        <v>140</v>
      </c>
      <c r="F187" s="133"/>
      <c r="G187" s="133"/>
      <c r="H187" s="134">
        <f>('[6]Note 23 (Infra)'!$K$27*1000)+R187-S187</f>
        <v>645962.57804931502</v>
      </c>
      <c r="I187" s="134"/>
      <c r="J187" s="14"/>
      <c r="K187" s="14"/>
      <c r="L187" s="14"/>
      <c r="M187" s="14"/>
      <c r="N187" s="134">
        <f>SUM('[4]ESC Cap Wks'!$C$106:$C$107)</f>
        <v>216000</v>
      </c>
      <c r="O187" s="134">
        <f>SUM(GETPIVOTDATA("Sum of 2017/18",'[4]ESC Cap Wks'!$A$3,"ACCOUNT NAME","Council Contribution to Point Lonsdale Tennis Club lighting","Statement of Capital Works - Asset Class","Other infrastructure","Statement of Capital Works - N/R/U","Asset renewal expenditure"),GETPIVOTDATA("Sum of 2017/18",'[4]ESC Cap Wks'!$A$3,"ACCOUNT NAME","Towns entry and main road tourism signage plan","Statement of Capital Works - Asset Class","Other infrastructure","Statement of Capital Works - N/R/U","Asset renewal expenditure"))-'[8]After meeting with Lenny 300517'!$D$4-'[8]After meeting with Lenny 300517'!$D$11</f>
        <v>13647.07</v>
      </c>
      <c r="P187" s="134">
        <v>0</v>
      </c>
      <c r="Q187" s="134">
        <f>SUM('[4]ESC Cap Wks'!$C$95:$C$96)</f>
        <v>20000</v>
      </c>
      <c r="R187" s="135">
        <f t="shared" si="1"/>
        <v>249647.07</v>
      </c>
      <c r="S187" s="134">
        <f>'[4]ESC Depn by Class'!$D$3</f>
        <v>12000</v>
      </c>
      <c r="T187" s="219">
        <f t="shared" si="2"/>
        <v>1.1372558333333334</v>
      </c>
      <c r="U187" s="31"/>
      <c r="V187" s="14"/>
    </row>
    <row r="188" spans="2:22" ht="13.5" thickTop="1" x14ac:dyDescent="0.2">
      <c r="B188" s="14"/>
      <c r="C188" s="13"/>
      <c r="D188" s="14"/>
      <c r="E188" s="136"/>
      <c r="F188" s="137" t="s">
        <v>87</v>
      </c>
      <c r="G188" s="129"/>
      <c r="H188" s="57">
        <f>SUM(H165:H187)</f>
        <v>129179175.83303909</v>
      </c>
      <c r="I188" s="57"/>
      <c r="J188" s="14"/>
      <c r="K188" s="14"/>
      <c r="L188" s="14"/>
      <c r="M188" s="14"/>
      <c r="N188" s="57">
        <f t="shared" ref="N188:S188" si="3">SUM(N165:N187)</f>
        <v>1553098.4105</v>
      </c>
      <c r="O188" s="57">
        <f t="shared" si="3"/>
        <v>1506684.7345</v>
      </c>
      <c r="P188" s="57">
        <f t="shared" si="3"/>
        <v>0</v>
      </c>
      <c r="Q188" s="57">
        <f t="shared" si="3"/>
        <v>1106108.7150000001</v>
      </c>
      <c r="R188" s="57">
        <f t="shared" si="3"/>
        <v>4165891.8599999994</v>
      </c>
      <c r="S188" s="57">
        <f t="shared" si="3"/>
        <v>1196599.2408</v>
      </c>
      <c r="T188" s="127"/>
      <c r="U188" s="31"/>
      <c r="V188" s="14"/>
    </row>
    <row r="189" spans="2:22" ht="13.5" thickBot="1" x14ac:dyDescent="0.25">
      <c r="B189" s="14"/>
      <c r="C189" s="117"/>
      <c r="D189" s="33"/>
      <c r="E189" s="33"/>
      <c r="F189" s="33"/>
      <c r="G189" s="33"/>
      <c r="H189" s="33"/>
      <c r="I189" s="33"/>
      <c r="J189" s="33"/>
      <c r="K189" s="36"/>
      <c r="L189" s="36"/>
      <c r="M189" s="36"/>
      <c r="N189" s="36"/>
      <c r="O189" s="36"/>
      <c r="P189" s="36"/>
      <c r="Q189" s="36"/>
      <c r="R189" s="36"/>
      <c r="S189" s="36"/>
      <c r="T189" s="36"/>
      <c r="U189" s="121"/>
      <c r="V189" s="14"/>
    </row>
    <row r="190" spans="2:22" x14ac:dyDescent="0.2">
      <c r="B190" s="14"/>
      <c r="C190" s="14"/>
      <c r="F190" s="6"/>
      <c r="G190" s="6"/>
      <c r="I190" s="38"/>
      <c r="J190" s="38"/>
      <c r="K190" s="38"/>
      <c r="L190" s="38"/>
      <c r="M190" s="38"/>
      <c r="N190" s="38"/>
      <c r="O190" s="38"/>
      <c r="P190" s="38"/>
      <c r="Q190" s="38"/>
      <c r="R190" s="38"/>
      <c r="S190" s="38"/>
      <c r="T190" s="38"/>
      <c r="U190" s="14"/>
      <c r="V190" s="14"/>
    </row>
    <row r="191" spans="2:22" x14ac:dyDescent="0.2">
      <c r="E191" s="6"/>
      <c r="F191" s="6"/>
      <c r="G191" s="6"/>
      <c r="I191" s="38"/>
      <c r="J191" s="38"/>
      <c r="K191" s="38"/>
      <c r="L191" s="38"/>
      <c r="M191" s="38"/>
      <c r="N191" s="38"/>
      <c r="O191" s="38"/>
      <c r="P191" s="38"/>
      <c r="Q191" s="38"/>
      <c r="R191" s="38"/>
      <c r="S191" s="38"/>
      <c r="T191" s="38"/>
    </row>
    <row r="192" spans="2:22" x14ac:dyDescent="0.2">
      <c r="E192" s="6"/>
      <c r="F192" s="6"/>
      <c r="G192" s="6"/>
    </row>
    <row r="193" spans="5:7" x14ac:dyDescent="0.2">
      <c r="E193" s="6"/>
      <c r="F193" s="6"/>
      <c r="G193" s="6"/>
    </row>
    <row r="194" spans="5:7" x14ac:dyDescent="0.2">
      <c r="E194" s="6"/>
      <c r="F194" s="6"/>
      <c r="G194" s="6"/>
    </row>
    <row r="195" spans="5:7" x14ac:dyDescent="0.2">
      <c r="E195" s="6"/>
      <c r="F195" s="6"/>
      <c r="G195" s="6"/>
    </row>
    <row r="196" spans="5:7" x14ac:dyDescent="0.2">
      <c r="E196" s="6"/>
      <c r="F196" s="6"/>
      <c r="G196" s="6"/>
    </row>
    <row r="197" spans="5:7" x14ac:dyDescent="0.2">
      <c r="E197" s="6"/>
      <c r="F197" s="6"/>
      <c r="G197" s="6"/>
    </row>
    <row r="198" spans="5:7" x14ac:dyDescent="0.2">
      <c r="E198" s="6"/>
      <c r="F198" s="6"/>
      <c r="G198" s="6"/>
    </row>
    <row r="199" spans="5:7" x14ac:dyDescent="0.2">
      <c r="E199" s="6"/>
      <c r="F199" s="6"/>
      <c r="G199" s="6"/>
    </row>
    <row r="200" spans="5:7" x14ac:dyDescent="0.2">
      <c r="E200" s="6"/>
      <c r="F200" s="6"/>
      <c r="G200" s="6"/>
    </row>
    <row r="201" spans="5:7" x14ac:dyDescent="0.2">
      <c r="E201" s="6"/>
      <c r="F201" s="6"/>
      <c r="G201" s="6"/>
    </row>
    <row r="202" spans="5:7" x14ac:dyDescent="0.2">
      <c r="E202" s="6"/>
      <c r="F202" s="6"/>
      <c r="G202" s="6"/>
    </row>
    <row r="203" spans="5:7" x14ac:dyDescent="0.2">
      <c r="E203" s="6"/>
      <c r="F203" s="6"/>
      <c r="G203" s="6"/>
    </row>
    <row r="204" spans="5:7" x14ac:dyDescent="0.2">
      <c r="E204" s="6"/>
      <c r="F204" s="6"/>
      <c r="G204" s="6"/>
    </row>
    <row r="205" spans="5:7" x14ac:dyDescent="0.2">
      <c r="E205" s="6"/>
      <c r="F205" s="6"/>
      <c r="G205" s="6"/>
    </row>
    <row r="206" spans="5:7" x14ac:dyDescent="0.2">
      <c r="E206" s="6"/>
      <c r="F206" s="6"/>
      <c r="G206" s="6"/>
    </row>
    <row r="207" spans="5:7" x14ac:dyDescent="0.2">
      <c r="E207" s="6"/>
      <c r="F207" s="6"/>
      <c r="G207" s="6"/>
    </row>
    <row r="208" spans="5:7" x14ac:dyDescent="0.2">
      <c r="E208" s="6"/>
      <c r="F208" s="6"/>
      <c r="G208" s="6"/>
    </row>
    <row r="209" spans="5:7" x14ac:dyDescent="0.2">
      <c r="E209" s="6"/>
      <c r="F209" s="6"/>
      <c r="G209" s="6"/>
    </row>
    <row r="210" spans="5:7" ht="12.75" customHeight="1" x14ac:dyDescent="0.2">
      <c r="E210" s="6"/>
      <c r="F210" s="6"/>
      <c r="G210" s="6"/>
    </row>
    <row r="211" spans="5:7" ht="12.75" customHeight="1" x14ac:dyDescent="0.2">
      <c r="E211" s="6"/>
      <c r="F211" s="6"/>
      <c r="G211" s="6"/>
    </row>
    <row r="212" spans="5:7" ht="12.75" customHeight="1" x14ac:dyDescent="0.2">
      <c r="E212" s="6"/>
      <c r="F212" s="6"/>
      <c r="G212" s="6"/>
    </row>
    <row r="213" spans="5:7" ht="12.75" customHeight="1" x14ac:dyDescent="0.2">
      <c r="E213" s="6"/>
      <c r="F213" s="6"/>
      <c r="G213" s="6"/>
    </row>
    <row r="214" spans="5:7" ht="12.75" customHeight="1" x14ac:dyDescent="0.2">
      <c r="E214" s="6"/>
      <c r="F214" s="6"/>
      <c r="G214" s="6"/>
    </row>
    <row r="215" spans="5:7" ht="12.75" customHeight="1" x14ac:dyDescent="0.2">
      <c r="E215" s="6"/>
      <c r="F215" s="6"/>
      <c r="G215" s="6"/>
    </row>
    <row r="216" spans="5:7" ht="12.75" customHeight="1" x14ac:dyDescent="0.2">
      <c r="E216" s="6"/>
      <c r="F216" s="6"/>
      <c r="G216" s="6"/>
    </row>
    <row r="217" spans="5:7" ht="12.75" customHeight="1" x14ac:dyDescent="0.2">
      <c r="E217" s="6"/>
      <c r="F217" s="6"/>
      <c r="G217" s="6"/>
    </row>
    <row r="218" spans="5:7" ht="12.75" customHeight="1" x14ac:dyDescent="0.2">
      <c r="E218" s="6"/>
      <c r="F218" s="6"/>
      <c r="G218" s="6"/>
    </row>
    <row r="219" spans="5:7" ht="12.75" customHeight="1" x14ac:dyDescent="0.2">
      <c r="E219" s="6"/>
      <c r="F219" s="6"/>
      <c r="G219" s="6"/>
    </row>
    <row r="220" spans="5:7" ht="12.75" customHeight="1" x14ac:dyDescent="0.2">
      <c r="E220" s="6"/>
      <c r="F220" s="6"/>
      <c r="G220" s="6"/>
    </row>
    <row r="221" spans="5:7" ht="12.75" customHeight="1" x14ac:dyDescent="0.2">
      <c r="E221" s="6"/>
      <c r="F221" s="6"/>
      <c r="G221" s="6"/>
    </row>
    <row r="222" spans="5:7" ht="12.75" customHeight="1" x14ac:dyDescent="0.2">
      <c r="E222" s="6"/>
      <c r="F222" s="6"/>
      <c r="G222" s="6"/>
    </row>
    <row r="223" spans="5:7" ht="12.75" customHeight="1" x14ac:dyDescent="0.2">
      <c r="E223" s="6"/>
      <c r="F223" s="6"/>
      <c r="G223" s="6"/>
    </row>
    <row r="224" spans="5:7" ht="12.75" customHeight="1" x14ac:dyDescent="0.2">
      <c r="E224" s="6"/>
      <c r="F224" s="6"/>
      <c r="G224" s="6"/>
    </row>
    <row r="225" spans="5:7" ht="12.75" customHeight="1" x14ac:dyDescent="0.2">
      <c r="E225" s="6"/>
      <c r="F225" s="6"/>
      <c r="G225" s="6"/>
    </row>
    <row r="226" spans="5:7" ht="12.75" customHeight="1" x14ac:dyDescent="0.2">
      <c r="E226" s="6"/>
      <c r="F226" s="6"/>
      <c r="G226" s="6"/>
    </row>
    <row r="227" spans="5:7" ht="12.75" customHeight="1" x14ac:dyDescent="0.2">
      <c r="E227" s="6"/>
      <c r="F227" s="6"/>
      <c r="G227" s="6"/>
    </row>
    <row r="228" spans="5:7" ht="12.75" customHeight="1" x14ac:dyDescent="0.2">
      <c r="E228" s="6"/>
      <c r="F228" s="6"/>
      <c r="G228" s="6"/>
    </row>
    <row r="229" spans="5:7" ht="12.75" customHeight="1" x14ac:dyDescent="0.2">
      <c r="E229" s="6"/>
      <c r="F229" s="6"/>
      <c r="G229" s="6"/>
    </row>
    <row r="230" spans="5:7" ht="12.75" customHeight="1" x14ac:dyDescent="0.2">
      <c r="E230" s="6"/>
      <c r="F230" s="6"/>
      <c r="G230" s="6"/>
    </row>
    <row r="231" spans="5:7" ht="12.75" customHeight="1" x14ac:dyDescent="0.2">
      <c r="E231" s="6"/>
      <c r="F231" s="6"/>
      <c r="G231" s="6"/>
    </row>
    <row r="232" spans="5:7" ht="12.75" customHeight="1" x14ac:dyDescent="0.2">
      <c r="E232" s="6"/>
      <c r="F232" s="6"/>
      <c r="G232" s="6"/>
    </row>
    <row r="233" spans="5:7" ht="12.75" customHeight="1" x14ac:dyDescent="0.2">
      <c r="E233" s="6"/>
      <c r="F233" s="6"/>
      <c r="G233" s="6"/>
    </row>
    <row r="234" spans="5:7" ht="12.75" customHeight="1" x14ac:dyDescent="0.2">
      <c r="E234" s="6"/>
      <c r="F234" s="6"/>
      <c r="G234" s="6"/>
    </row>
    <row r="235" spans="5:7" ht="12.75" customHeight="1" x14ac:dyDescent="0.2">
      <c r="E235" s="6"/>
      <c r="F235" s="6"/>
      <c r="G235" s="6"/>
    </row>
    <row r="236" spans="5:7" ht="12.75" customHeight="1" x14ac:dyDescent="0.2">
      <c r="E236" s="6"/>
      <c r="F236" s="6"/>
      <c r="G236" s="6"/>
    </row>
    <row r="237" spans="5:7" ht="12.75" customHeight="1" x14ac:dyDescent="0.2">
      <c r="E237" s="6"/>
      <c r="F237" s="6"/>
      <c r="G237" s="6"/>
    </row>
    <row r="238" spans="5:7" ht="12.75" customHeight="1" x14ac:dyDescent="0.2">
      <c r="E238" s="6"/>
      <c r="F238" s="6"/>
      <c r="G238" s="6"/>
    </row>
    <row r="239" spans="5:7" ht="12.75" customHeight="1" x14ac:dyDescent="0.2">
      <c r="E239" s="6"/>
      <c r="F239" s="6"/>
      <c r="G239" s="6"/>
    </row>
    <row r="240" spans="5:7" ht="12.75" customHeight="1" x14ac:dyDescent="0.2">
      <c r="E240" s="6"/>
      <c r="F240" s="6"/>
      <c r="G240" s="6"/>
    </row>
    <row r="241" spans="5:7" ht="12.75" customHeight="1" x14ac:dyDescent="0.2">
      <c r="E241" s="6"/>
      <c r="F241" s="6"/>
      <c r="G241" s="6"/>
    </row>
    <row r="242" spans="5:7" ht="12.75" customHeight="1" x14ac:dyDescent="0.2">
      <c r="E242" s="6"/>
      <c r="F242" s="6"/>
      <c r="G242" s="6"/>
    </row>
    <row r="243" spans="5:7" ht="12.75" customHeight="1" x14ac:dyDescent="0.2">
      <c r="E243" s="6"/>
      <c r="F243" s="6"/>
      <c r="G243" s="6"/>
    </row>
    <row r="244" spans="5:7" ht="12.75" customHeight="1" x14ac:dyDescent="0.2">
      <c r="E244" s="6"/>
      <c r="F244" s="6"/>
      <c r="G244" s="6"/>
    </row>
    <row r="245" spans="5:7" ht="12.75" customHeight="1" x14ac:dyDescent="0.2">
      <c r="E245" s="6"/>
      <c r="F245" s="6"/>
      <c r="G245" s="6"/>
    </row>
    <row r="246" spans="5:7" ht="12.75" customHeight="1" x14ac:dyDescent="0.2">
      <c r="E246" s="6"/>
      <c r="F246" s="6"/>
      <c r="G246" s="6"/>
    </row>
    <row r="247" spans="5:7" ht="12.75" customHeight="1" x14ac:dyDescent="0.2">
      <c r="E247" s="6"/>
      <c r="F247" s="6"/>
      <c r="G247" s="6"/>
    </row>
    <row r="248" spans="5:7" ht="12.75" customHeight="1" x14ac:dyDescent="0.2">
      <c r="E248" s="6"/>
      <c r="F248" s="6"/>
      <c r="G248" s="6"/>
    </row>
    <row r="249" spans="5:7" x14ac:dyDescent="0.2">
      <c r="E249" s="6"/>
      <c r="F249" s="6"/>
      <c r="G249" s="6"/>
    </row>
    <row r="250" spans="5:7" x14ac:dyDescent="0.2">
      <c r="E250" s="6"/>
      <c r="F250" s="6"/>
      <c r="G250" s="6"/>
    </row>
    <row r="251" spans="5:7" x14ac:dyDescent="0.2">
      <c r="E251" s="6"/>
      <c r="F251" s="6"/>
      <c r="G251" s="6"/>
    </row>
    <row r="252" spans="5:7" x14ac:dyDescent="0.2">
      <c r="E252" s="6"/>
      <c r="F252" s="6"/>
      <c r="G252" s="6"/>
    </row>
    <row r="253" spans="5:7" x14ac:dyDescent="0.2">
      <c r="E253" s="6"/>
      <c r="F253" s="6"/>
      <c r="G253" s="6"/>
    </row>
    <row r="254" spans="5:7" x14ac:dyDescent="0.2">
      <c r="E254" s="6"/>
      <c r="F254" s="6"/>
      <c r="G254" s="6"/>
    </row>
    <row r="255" spans="5:7" x14ac:dyDescent="0.2">
      <c r="E255" s="6"/>
      <c r="F255" s="6"/>
      <c r="G255" s="6"/>
    </row>
    <row r="256" spans="5:7" x14ac:dyDescent="0.2">
      <c r="E256" s="6"/>
      <c r="F256" s="6"/>
      <c r="G256" s="6"/>
    </row>
    <row r="257" spans="5:7" x14ac:dyDescent="0.2">
      <c r="E257" s="6"/>
      <c r="F257" s="6"/>
      <c r="G257" s="6"/>
    </row>
    <row r="258" spans="5:7" x14ac:dyDescent="0.2">
      <c r="E258" s="6"/>
      <c r="F258" s="6"/>
      <c r="G258" s="6"/>
    </row>
    <row r="259" spans="5:7" x14ac:dyDescent="0.2">
      <c r="E259" s="6"/>
      <c r="F259" s="6"/>
      <c r="G259" s="6"/>
    </row>
    <row r="260" spans="5:7" x14ac:dyDescent="0.2">
      <c r="E260" s="6"/>
      <c r="F260" s="6"/>
      <c r="G260" s="6"/>
    </row>
    <row r="261" spans="5:7" x14ac:dyDescent="0.2">
      <c r="E261" s="6"/>
      <c r="F261" s="6"/>
      <c r="G261" s="6"/>
    </row>
    <row r="262" spans="5:7" x14ac:dyDescent="0.2">
      <c r="E262" s="6"/>
      <c r="F262" s="6"/>
      <c r="G262" s="6"/>
    </row>
    <row r="263" spans="5:7" x14ac:dyDescent="0.2">
      <c r="E263" s="6"/>
      <c r="F263" s="6"/>
      <c r="G263" s="6"/>
    </row>
    <row r="264" spans="5:7" x14ac:dyDescent="0.2">
      <c r="E264" s="6"/>
      <c r="F264" s="6"/>
      <c r="G264" s="6"/>
    </row>
    <row r="265" spans="5:7" x14ac:dyDescent="0.2">
      <c r="E265" s="6"/>
      <c r="F265" s="6"/>
      <c r="G265" s="6"/>
    </row>
    <row r="266" spans="5:7" x14ac:dyDescent="0.2">
      <c r="E266" s="6"/>
      <c r="F266" s="6"/>
      <c r="G266" s="6"/>
    </row>
    <row r="267" spans="5:7" x14ac:dyDescent="0.2">
      <c r="E267" s="83"/>
      <c r="F267" s="6"/>
      <c r="G267" s="6"/>
    </row>
    <row r="268" spans="5:7" x14ac:dyDescent="0.2">
      <c r="E268" s="83"/>
      <c r="F268" s="6"/>
      <c r="G268" s="6"/>
    </row>
    <row r="269" spans="5:7" x14ac:dyDescent="0.2">
      <c r="E269" s="83"/>
      <c r="F269" s="6"/>
      <c r="G269" s="6"/>
    </row>
    <row r="270" spans="5:7" x14ac:dyDescent="0.2">
      <c r="E270" s="83"/>
      <c r="F270" s="6"/>
      <c r="G270" s="6"/>
    </row>
    <row r="271" spans="5:7" x14ac:dyDescent="0.2">
      <c r="E271" s="83"/>
      <c r="F271" s="6"/>
      <c r="G271" s="6"/>
    </row>
    <row r="272" spans="5:7" x14ac:dyDescent="0.2">
      <c r="E272" s="83"/>
      <c r="F272" s="6"/>
      <c r="G272" s="6"/>
    </row>
    <row r="273" spans="5:7" x14ac:dyDescent="0.2">
      <c r="E273" s="83"/>
      <c r="F273" s="6"/>
      <c r="G273" s="6"/>
    </row>
    <row r="274" spans="5:7" x14ac:dyDescent="0.2">
      <c r="E274" s="83"/>
      <c r="F274" s="6"/>
      <c r="G274" s="6"/>
    </row>
    <row r="275" spans="5:7" x14ac:dyDescent="0.2">
      <c r="E275" s="83"/>
      <c r="F275" s="6"/>
      <c r="G275" s="6"/>
    </row>
    <row r="276" spans="5:7" x14ac:dyDescent="0.2">
      <c r="E276" s="83"/>
      <c r="F276" s="6"/>
      <c r="G276" s="6"/>
    </row>
    <row r="277" spans="5:7" x14ac:dyDescent="0.2">
      <c r="E277" s="83"/>
      <c r="F277" s="6"/>
      <c r="G277" s="6"/>
    </row>
    <row r="278" spans="5:7" x14ac:dyDescent="0.2">
      <c r="E278" s="83"/>
      <c r="F278" s="6"/>
      <c r="G278" s="6"/>
    </row>
    <row r="279" spans="5:7" x14ac:dyDescent="0.2">
      <c r="E279" s="83"/>
      <c r="F279" s="6"/>
      <c r="G279" s="6"/>
    </row>
    <row r="280" spans="5:7" x14ac:dyDescent="0.2">
      <c r="E280" s="83"/>
      <c r="F280" s="6"/>
      <c r="G280" s="6"/>
    </row>
    <row r="281" spans="5:7" x14ac:dyDescent="0.2">
      <c r="E281" s="83"/>
      <c r="F281" s="6"/>
      <c r="G281" s="6"/>
    </row>
    <row r="282" spans="5:7" x14ac:dyDescent="0.2">
      <c r="E282" s="83"/>
      <c r="F282" s="6"/>
      <c r="G282" s="6"/>
    </row>
    <row r="283" spans="5:7" x14ac:dyDescent="0.2">
      <c r="E283" s="83"/>
      <c r="F283" s="6"/>
      <c r="G283" s="6"/>
    </row>
    <row r="284" spans="5:7" x14ac:dyDescent="0.2">
      <c r="E284" s="83"/>
      <c r="F284" s="6"/>
      <c r="G284" s="6"/>
    </row>
    <row r="285" spans="5:7" x14ac:dyDescent="0.2">
      <c r="E285" s="83"/>
      <c r="F285" s="6"/>
      <c r="G285" s="6"/>
    </row>
    <row r="286" spans="5:7" x14ac:dyDescent="0.2">
      <c r="E286" s="83"/>
      <c r="F286" s="6"/>
      <c r="G286" s="6"/>
    </row>
    <row r="287" spans="5:7" x14ac:dyDescent="0.2">
      <c r="E287" s="83"/>
      <c r="F287" s="6"/>
      <c r="G287" s="6"/>
    </row>
    <row r="288" spans="5:7" x14ac:dyDescent="0.2">
      <c r="E288" s="83"/>
      <c r="F288" s="6"/>
      <c r="G288" s="6"/>
    </row>
    <row r="289" spans="5:19" x14ac:dyDescent="0.2">
      <c r="E289" s="83"/>
      <c r="F289" s="6"/>
      <c r="G289" s="6"/>
    </row>
    <row r="290" spans="5:19" x14ac:dyDescent="0.2">
      <c r="E290" s="83"/>
      <c r="F290" s="6"/>
      <c r="G290" s="6"/>
    </row>
    <row r="291" spans="5:19" x14ac:dyDescent="0.2">
      <c r="E291" s="83"/>
      <c r="F291" s="6"/>
      <c r="G291" s="6"/>
    </row>
    <row r="292" spans="5:19" x14ac:dyDescent="0.2">
      <c r="E292" s="83"/>
      <c r="F292" s="6"/>
      <c r="G292" s="6"/>
    </row>
    <row r="293" spans="5:19" x14ac:dyDescent="0.2">
      <c r="E293" s="83"/>
      <c r="F293" s="6"/>
      <c r="G293" s="6"/>
    </row>
    <row r="294" spans="5:19" x14ac:dyDescent="0.2">
      <c r="E294" s="83"/>
      <c r="F294" s="6"/>
      <c r="G294" s="6"/>
    </row>
    <row r="295" spans="5:19" x14ac:dyDescent="0.2">
      <c r="E295" s="83"/>
      <c r="F295" s="6"/>
      <c r="G295" s="6"/>
      <c r="I295" s="275" t="str">
        <f>'Revenue - NHC'!E12</f>
        <v>Aged Services</v>
      </c>
      <c r="S295" s="6" t="s">
        <v>363</v>
      </c>
    </row>
    <row r="296" spans="5:19" x14ac:dyDescent="0.2">
      <c r="E296" s="83"/>
      <c r="F296" s="6"/>
      <c r="G296" s="6"/>
      <c r="I296" s="275" t="str">
        <f>'Revenue - NHC'!E13</f>
        <v>Active Communities</v>
      </c>
      <c r="S296" s="6" t="s">
        <v>108</v>
      </c>
    </row>
    <row r="297" spans="5:19" x14ac:dyDescent="0.2">
      <c r="E297" s="83"/>
      <c r="F297" s="6"/>
      <c r="G297" s="6"/>
      <c r="I297" s="275" t="str">
        <f>'Revenue - NHC'!E14</f>
        <v>Community Events</v>
      </c>
      <c r="S297" s="6" t="s">
        <v>109</v>
      </c>
    </row>
    <row r="298" spans="5:19" x14ac:dyDescent="0.2">
      <c r="E298" s="83"/>
      <c r="F298" s="6"/>
      <c r="G298" s="6"/>
      <c r="I298" s="275" t="str">
        <f>'Revenue - NHC'!E15</f>
        <v>Maternal and Child Health (MCH)</v>
      </c>
      <c r="S298" s="6" t="s">
        <v>443</v>
      </c>
    </row>
    <row r="299" spans="5:19" x14ac:dyDescent="0.2">
      <c r="E299" s="83"/>
      <c r="F299" s="6"/>
      <c r="G299" s="6"/>
      <c r="I299" s="275" t="str">
        <f>'Revenue - NHC'!E16</f>
        <v>Kindergarten</v>
      </c>
      <c r="S299" s="6" t="s">
        <v>110</v>
      </c>
    </row>
    <row r="300" spans="5:19" x14ac:dyDescent="0.2">
      <c r="E300" s="83"/>
      <c r="F300" s="6"/>
      <c r="G300" s="6"/>
      <c r="I300" s="275" t="str">
        <f>'Revenue - NHC'!E17</f>
        <v>Environmental Health</v>
      </c>
      <c r="S300" s="6" t="s">
        <v>111</v>
      </c>
    </row>
    <row r="301" spans="5:19" x14ac:dyDescent="0.2">
      <c r="E301" s="83"/>
      <c r="F301" s="6"/>
      <c r="G301" s="6"/>
      <c r="I301" s="275" t="str">
        <f>'Revenue - NHC'!E18</f>
        <v>Asset Management and Appearance of Public Places</v>
      </c>
      <c r="S301" s="6" t="s">
        <v>112</v>
      </c>
    </row>
    <row r="302" spans="5:19" x14ac:dyDescent="0.2">
      <c r="E302" s="83"/>
      <c r="F302" s="6"/>
      <c r="G302" s="6"/>
      <c r="I302" s="275" t="str">
        <f>'Revenue - NHC'!E19</f>
        <v>Local Laws, Safety and Amenity</v>
      </c>
      <c r="S302" s="6" t="s">
        <v>88</v>
      </c>
    </row>
    <row r="303" spans="5:19" x14ac:dyDescent="0.2">
      <c r="E303" s="83"/>
      <c r="F303" s="6"/>
      <c r="G303" s="6"/>
      <c r="I303" s="275" t="str">
        <f>'Revenue - NHC'!E20</f>
        <v>Street Lighting</v>
      </c>
    </row>
    <row r="304" spans="5:19" x14ac:dyDescent="0.2">
      <c r="E304" s="83"/>
      <c r="F304" s="6"/>
      <c r="G304" s="6"/>
      <c r="I304" s="275" t="str">
        <f>'Revenue - NHC'!E21</f>
        <v>Powerline Safety</v>
      </c>
    </row>
    <row r="305" spans="5:9" x14ac:dyDescent="0.2">
      <c r="E305" s="83"/>
      <c r="F305" s="6"/>
      <c r="G305" s="6"/>
      <c r="I305" s="275" t="str">
        <f>'Revenue - NHC'!E22</f>
        <v>Library</v>
      </c>
    </row>
    <row r="306" spans="5:9" x14ac:dyDescent="0.2">
      <c r="E306" s="83"/>
      <c r="F306" s="6"/>
      <c r="G306" s="6"/>
      <c r="I306" s="275" t="str">
        <f>'Revenue - NHC'!E23</f>
        <v>Recreation, Arts and Culture</v>
      </c>
    </row>
    <row r="307" spans="5:9" x14ac:dyDescent="0.2">
      <c r="E307" s="83"/>
      <c r="F307" s="6"/>
      <c r="G307" s="6"/>
      <c r="I307" s="275" t="str">
        <f>'Revenue - NHC'!E24</f>
        <v>Environmental Sustainability</v>
      </c>
    </row>
    <row r="308" spans="5:9" x14ac:dyDescent="0.2">
      <c r="E308" s="83"/>
      <c r="F308" s="6"/>
      <c r="G308" s="6"/>
      <c r="I308" s="275" t="str">
        <f>'Revenue - NHC'!E25</f>
        <v>Coastal Protection</v>
      </c>
    </row>
    <row r="309" spans="5:9" x14ac:dyDescent="0.2">
      <c r="E309" s="83"/>
      <c r="F309" s="6"/>
      <c r="G309" s="6"/>
      <c r="I309" s="275" t="str">
        <f>'Revenue - NHC'!E26</f>
        <v>Waste Management and Recycling</v>
      </c>
    </row>
    <row r="310" spans="5:9" x14ac:dyDescent="0.2">
      <c r="E310" s="83"/>
      <c r="F310" s="6"/>
      <c r="G310" s="6"/>
      <c r="I310" s="275" t="str">
        <f>'Revenue - NHC'!E27</f>
        <v>Tourist Parks and Boat Ramp Services</v>
      </c>
    </row>
    <row r="311" spans="5:9" x14ac:dyDescent="0.2">
      <c r="E311" s="83"/>
      <c r="F311" s="6"/>
      <c r="G311" s="6"/>
      <c r="I311" s="275" t="str">
        <f>'Revenue - NHC'!E28</f>
        <v>Visitor Information Centre (VIC)</v>
      </c>
    </row>
    <row r="312" spans="5:9" x14ac:dyDescent="0.2">
      <c r="E312" s="83"/>
      <c r="F312" s="6"/>
      <c r="G312" s="6"/>
      <c r="I312" s="275" t="str">
        <f>'Revenue - NHC'!E29</f>
        <v>Tourism and Economic Development</v>
      </c>
    </row>
    <row r="313" spans="5:9" x14ac:dyDescent="0.2">
      <c r="E313" s="83"/>
      <c r="F313" s="6"/>
      <c r="G313" s="6"/>
      <c r="I313" s="275" t="str">
        <f>'Revenue - NHC'!E30</f>
        <v>Design and Project Management</v>
      </c>
    </row>
    <row r="314" spans="5:9" x14ac:dyDescent="0.2">
      <c r="E314" s="83"/>
      <c r="F314" s="6"/>
      <c r="G314" s="6"/>
      <c r="I314" s="275" t="str">
        <f>'Revenue - NHC'!E31</f>
        <v>Land Use Planning</v>
      </c>
    </row>
    <row r="315" spans="5:9" x14ac:dyDescent="0.2">
      <c r="E315" s="83"/>
      <c r="F315" s="6"/>
      <c r="G315" s="6"/>
      <c r="I315" s="275" t="str">
        <f>'Revenue - NHC'!E32</f>
        <v>Heritage Conservation Advice</v>
      </c>
    </row>
    <row r="316" spans="5:9" x14ac:dyDescent="0.2">
      <c r="E316" s="83"/>
      <c r="F316" s="6"/>
      <c r="G316" s="6"/>
      <c r="I316" s="275" t="str">
        <f>'Revenue - NHC'!E33</f>
        <v>Building Control</v>
      </c>
    </row>
    <row r="317" spans="5:9" x14ac:dyDescent="0.2">
      <c r="E317" s="83"/>
      <c r="F317" s="6"/>
      <c r="G317" s="6"/>
      <c r="I317" s="275" t="str">
        <f>'Revenue - NHC'!E34</f>
        <v>Council Governance</v>
      </c>
    </row>
    <row r="318" spans="5:9" x14ac:dyDescent="0.2">
      <c r="E318" s="83"/>
      <c r="F318" s="6"/>
      <c r="G318" s="6"/>
      <c r="I318" s="275" t="str">
        <f>'Revenue - NHC'!E35</f>
        <v>Organisation Performance and Compliance</v>
      </c>
    </row>
    <row r="319" spans="5:9" x14ac:dyDescent="0.2">
      <c r="E319" s="83"/>
      <c r="F319" s="6"/>
      <c r="G319" s="6"/>
      <c r="I319" s="275" t="str">
        <f>'Revenue - NHC'!E36</f>
        <v>Community Engagement and Customer Service</v>
      </c>
    </row>
    <row r="320" spans="5:9" x14ac:dyDescent="0.2">
      <c r="E320" s="83"/>
      <c r="F320" s="6"/>
      <c r="G320" s="6"/>
      <c r="I320" s="275" t="str">
        <f>'Revenue - NHC'!E37</f>
        <v>Financial and Risk Management</v>
      </c>
    </row>
    <row r="321" spans="5:9" x14ac:dyDescent="0.2">
      <c r="E321" s="83"/>
      <c r="F321" s="6"/>
      <c r="G321" s="6"/>
      <c r="I321" s="275" t="str">
        <f>'Revenue - NHC'!E38</f>
        <v/>
      </c>
    </row>
    <row r="322" spans="5:9" x14ac:dyDescent="0.2">
      <c r="E322" s="83"/>
      <c r="F322" s="6"/>
      <c r="G322" s="6"/>
      <c r="I322" s="275" t="str">
        <f>'Revenue - NHC'!E39</f>
        <v>Capital Works Program</v>
      </c>
    </row>
    <row r="323" spans="5:9" x14ac:dyDescent="0.2">
      <c r="E323" s="83"/>
      <c r="F323" s="6"/>
      <c r="G323" s="6"/>
      <c r="I323" s="275" t="str">
        <f>'Revenue - NHC'!E40</f>
        <v/>
      </c>
    </row>
    <row r="324" spans="5:9" x14ac:dyDescent="0.2">
      <c r="E324" s="83"/>
      <c r="F324" s="6"/>
      <c r="G324" s="6"/>
      <c r="I324" s="275" t="str">
        <f>'Revenue - NHC'!E41</f>
        <v/>
      </c>
    </row>
    <row r="325" spans="5:9" x14ac:dyDescent="0.2">
      <c r="E325" s="83"/>
      <c r="F325" s="6"/>
      <c r="G325" s="6"/>
      <c r="I325" s="275" t="str">
        <f>'Revenue - NHC'!E42</f>
        <v/>
      </c>
    </row>
    <row r="326" spans="5:9" x14ac:dyDescent="0.2">
      <c r="E326" s="83"/>
      <c r="F326" s="6"/>
      <c r="G326" s="6"/>
      <c r="I326" s="275" t="str">
        <f>'Revenue - NHC'!E43</f>
        <v/>
      </c>
    </row>
    <row r="327" spans="5:9" x14ac:dyDescent="0.2">
      <c r="E327" s="83"/>
      <c r="F327" s="6"/>
      <c r="G327" s="6"/>
      <c r="I327" s="275" t="str">
        <f>'Revenue - NHC'!E44</f>
        <v/>
      </c>
    </row>
    <row r="328" spans="5:9" x14ac:dyDescent="0.2">
      <c r="E328" s="83"/>
      <c r="F328" s="6"/>
      <c r="G328" s="6"/>
      <c r="I328" s="275" t="str">
        <f>'Revenue - NHC'!E45</f>
        <v/>
      </c>
    </row>
    <row r="329" spans="5:9" x14ac:dyDescent="0.2">
      <c r="E329" s="83"/>
      <c r="F329" s="6"/>
      <c r="G329" s="6"/>
      <c r="I329" s="275" t="str">
        <f>'Revenue - NHC'!E46</f>
        <v/>
      </c>
    </row>
    <row r="330" spans="5:9" x14ac:dyDescent="0.2">
      <c r="E330" s="83"/>
      <c r="F330" s="6"/>
      <c r="G330" s="6"/>
      <c r="I330" s="275" t="str">
        <f>'Revenue - NHC'!E47</f>
        <v/>
      </c>
    </row>
    <row r="331" spans="5:9" x14ac:dyDescent="0.2">
      <c r="E331" s="83"/>
      <c r="F331" s="6"/>
      <c r="G331" s="6"/>
      <c r="I331" s="275" t="str">
        <f>'Revenue - NHC'!E48</f>
        <v/>
      </c>
    </row>
    <row r="332" spans="5:9" x14ac:dyDescent="0.2">
      <c r="E332" s="83"/>
      <c r="F332" s="6"/>
      <c r="G332" s="6"/>
      <c r="I332" s="275" t="str">
        <f>'Revenue - NHC'!E49</f>
        <v/>
      </c>
    </row>
    <row r="333" spans="5:9" x14ac:dyDescent="0.2">
      <c r="E333" s="83"/>
      <c r="F333" s="6"/>
      <c r="G333" s="6"/>
      <c r="I333" s="275" t="str">
        <f>'Revenue - NHC'!E50</f>
        <v/>
      </c>
    </row>
    <row r="334" spans="5:9" x14ac:dyDescent="0.2">
      <c r="E334" s="83"/>
      <c r="F334" s="6"/>
      <c r="G334" s="6"/>
      <c r="I334" s="275" t="str">
        <f>'Revenue - NHC'!E51</f>
        <v/>
      </c>
    </row>
    <row r="335" spans="5:9" x14ac:dyDescent="0.2">
      <c r="E335" s="83"/>
      <c r="F335" s="6"/>
      <c r="G335" s="6"/>
      <c r="I335" s="275" t="str">
        <f>'Revenue - NHC'!E52</f>
        <v/>
      </c>
    </row>
    <row r="336" spans="5:9" x14ac:dyDescent="0.2">
      <c r="E336" s="83"/>
      <c r="F336" s="6"/>
      <c r="G336" s="6"/>
      <c r="I336" s="275" t="str">
        <f>'Revenue - NHC'!E53</f>
        <v/>
      </c>
    </row>
    <row r="337" spans="5:9" x14ac:dyDescent="0.2">
      <c r="E337" s="83"/>
      <c r="F337" s="6"/>
      <c r="G337" s="6"/>
      <c r="I337" s="275" t="str">
        <f>'Revenue - NHC'!E54</f>
        <v/>
      </c>
    </row>
    <row r="338" spans="5:9" x14ac:dyDescent="0.2">
      <c r="E338" s="83"/>
      <c r="F338" s="6"/>
      <c r="G338" s="6"/>
      <c r="I338" s="275" t="str">
        <f>'Revenue - NHC'!E55</f>
        <v/>
      </c>
    </row>
    <row r="339" spans="5:9" x14ac:dyDescent="0.2">
      <c r="E339" s="83"/>
      <c r="F339" s="6"/>
      <c r="G339" s="6"/>
      <c r="I339" s="275" t="str">
        <f>'Revenue - NHC'!E56</f>
        <v/>
      </c>
    </row>
    <row r="340" spans="5:9" x14ac:dyDescent="0.2">
      <c r="E340" s="83"/>
      <c r="F340" s="6"/>
      <c r="G340" s="6"/>
      <c r="I340" s="275" t="str">
        <f>'Revenue - NHC'!E57</f>
        <v/>
      </c>
    </row>
    <row r="341" spans="5:9" x14ac:dyDescent="0.2">
      <c r="E341" s="83"/>
      <c r="F341" s="6"/>
      <c r="G341" s="6"/>
      <c r="I341" s="275" t="str">
        <f>'Revenue - NHC'!E58</f>
        <v/>
      </c>
    </row>
    <row r="342" spans="5:9" x14ac:dyDescent="0.2">
      <c r="E342" s="83"/>
      <c r="F342" s="6"/>
      <c r="G342" s="6"/>
      <c r="I342" s="275" t="str">
        <f>'Revenue - NHC'!E59</f>
        <v/>
      </c>
    </row>
    <row r="343" spans="5:9" x14ac:dyDescent="0.2">
      <c r="E343" s="83"/>
      <c r="F343" s="6"/>
      <c r="G343" s="6"/>
      <c r="I343" s="275" t="str">
        <f>'Revenue - NHC'!E60</f>
        <v/>
      </c>
    </row>
    <row r="344" spans="5:9" x14ac:dyDescent="0.2">
      <c r="I344" s="275" t="str">
        <f>'Revenue - NHC'!E61</f>
        <v/>
      </c>
    </row>
    <row r="345" spans="5:9" x14ac:dyDescent="0.2">
      <c r="I345" s="275" t="str">
        <f>'Revenue - NHC'!E62</f>
        <v/>
      </c>
    </row>
    <row r="346" spans="5:9" x14ac:dyDescent="0.2">
      <c r="I346" s="275" t="str">
        <f>'Revenue - NHC'!E63</f>
        <v/>
      </c>
    </row>
    <row r="347" spans="5:9" x14ac:dyDescent="0.2">
      <c r="I347" s="275" t="str">
        <f>'Revenue - NHC'!E64</f>
        <v/>
      </c>
    </row>
    <row r="348" spans="5:9" x14ac:dyDescent="0.2">
      <c r="I348" s="275" t="str">
        <f>'Revenue - NHC'!E65</f>
        <v/>
      </c>
    </row>
    <row r="349" spans="5:9" x14ac:dyDescent="0.2">
      <c r="I349" s="275" t="str">
        <f>'Revenue - NHC'!E66</f>
        <v/>
      </c>
    </row>
    <row r="350" spans="5:9" x14ac:dyDescent="0.2">
      <c r="I350" s="275" t="str">
        <f>'Revenue - NHC'!E67</f>
        <v/>
      </c>
    </row>
    <row r="351" spans="5:9" x14ac:dyDescent="0.2">
      <c r="I351" s="275" t="str">
        <f>'Revenue - NHC'!E68</f>
        <v/>
      </c>
    </row>
    <row r="352" spans="5:9" x14ac:dyDescent="0.2">
      <c r="I352" s="275" t="str">
        <f>'Revenue - NHC'!E69</f>
        <v/>
      </c>
    </row>
    <row r="353" spans="9:9" x14ac:dyDescent="0.2">
      <c r="I353" s="275" t="str">
        <f>'Revenue - NHC'!E70</f>
        <v/>
      </c>
    </row>
    <row r="354" spans="9:9" x14ac:dyDescent="0.2">
      <c r="I354" s="275" t="str">
        <f>'Revenue - NHC'!E71</f>
        <v/>
      </c>
    </row>
    <row r="355" spans="9:9" x14ac:dyDescent="0.2">
      <c r="I355" s="275" t="str">
        <f>'Revenue - NHC'!E72</f>
        <v/>
      </c>
    </row>
    <row r="356" spans="9:9" x14ac:dyDescent="0.2">
      <c r="I356" s="275" t="str">
        <f>'Revenue - NHC'!E73</f>
        <v/>
      </c>
    </row>
    <row r="357" spans="9:9" x14ac:dyDescent="0.2">
      <c r="I357" s="275" t="str">
        <f>'Revenue - NHC'!E74</f>
        <v/>
      </c>
    </row>
    <row r="358" spans="9:9" x14ac:dyDescent="0.2">
      <c r="I358" s="275" t="str">
        <f>'Revenue - NHC'!E75</f>
        <v/>
      </c>
    </row>
    <row r="359" spans="9:9" x14ac:dyDescent="0.2">
      <c r="I359" s="275" t="str">
        <f>'Revenue - NHC'!E76</f>
        <v/>
      </c>
    </row>
    <row r="360" spans="9:9" x14ac:dyDescent="0.2">
      <c r="I360" s="275" t="str">
        <f>'Revenue - NHC'!E77</f>
        <v/>
      </c>
    </row>
    <row r="361" spans="9:9" x14ac:dyDescent="0.2">
      <c r="I361" s="275" t="str">
        <f>'Revenue - NHC'!E78</f>
        <v/>
      </c>
    </row>
    <row r="362" spans="9:9" x14ac:dyDescent="0.2">
      <c r="I362" s="275" t="str">
        <f>'Revenue - NHC'!E79</f>
        <v/>
      </c>
    </row>
    <row r="363" spans="9:9" x14ac:dyDescent="0.2">
      <c r="I363" s="275" t="str">
        <f>'Revenue - NHC'!E80</f>
        <v/>
      </c>
    </row>
    <row r="364" spans="9:9" x14ac:dyDescent="0.2">
      <c r="I364" s="275" t="str">
        <f>'Revenue - NHC'!E81</f>
        <v/>
      </c>
    </row>
    <row r="365" spans="9:9" x14ac:dyDescent="0.2">
      <c r="I365" s="275" t="str">
        <f>'Revenue - NHC'!E82</f>
        <v/>
      </c>
    </row>
    <row r="366" spans="9:9" x14ac:dyDescent="0.2">
      <c r="I366" s="275" t="str">
        <f>'Revenue - NHC'!E83</f>
        <v/>
      </c>
    </row>
    <row r="367" spans="9:9" x14ac:dyDescent="0.2">
      <c r="I367" s="275" t="str">
        <f>'Revenue - NHC'!E84</f>
        <v/>
      </c>
    </row>
    <row r="368" spans="9:9" x14ac:dyDescent="0.2">
      <c r="I368" s="275" t="str">
        <f>'Revenue - NHC'!E85</f>
        <v/>
      </c>
    </row>
    <row r="369" spans="9:9" x14ac:dyDescent="0.2">
      <c r="I369" s="275" t="str">
        <f>'Revenue - NHC'!E86</f>
        <v/>
      </c>
    </row>
    <row r="370" spans="9:9" x14ac:dyDescent="0.2">
      <c r="I370" s="275" t="str">
        <f>'Revenue - NHC'!E87</f>
        <v/>
      </c>
    </row>
    <row r="371" spans="9:9" x14ac:dyDescent="0.2">
      <c r="I371" s="275" t="str">
        <f>'Revenue - NHC'!E88</f>
        <v/>
      </c>
    </row>
    <row r="372" spans="9:9" x14ac:dyDescent="0.2">
      <c r="I372" s="275" t="str">
        <f>'Revenue - NHC'!E89</f>
        <v/>
      </c>
    </row>
    <row r="373" spans="9:9" x14ac:dyDescent="0.2">
      <c r="I373" s="275" t="str">
        <f>'Revenue - NHC'!E90</f>
        <v/>
      </c>
    </row>
    <row r="374" spans="9:9" x14ac:dyDescent="0.2">
      <c r="I374" s="275" t="str">
        <f>'Revenue - NHC'!E91</f>
        <v/>
      </c>
    </row>
    <row r="375" spans="9:9" x14ac:dyDescent="0.2">
      <c r="I375" s="275" t="str">
        <f>'Revenue - NHC'!E92</f>
        <v/>
      </c>
    </row>
    <row r="376" spans="9:9" x14ac:dyDescent="0.2">
      <c r="I376" s="275" t="str">
        <f>'Revenue - NHC'!E93</f>
        <v/>
      </c>
    </row>
    <row r="377" spans="9:9" x14ac:dyDescent="0.2">
      <c r="I377" s="275" t="str">
        <f>'Revenue - NHC'!E94</f>
        <v/>
      </c>
    </row>
    <row r="378" spans="9:9" x14ac:dyDescent="0.2">
      <c r="I378" s="275" t="str">
        <f>'Revenue - NHC'!E95</f>
        <v/>
      </c>
    </row>
    <row r="379" spans="9:9" x14ac:dyDescent="0.2">
      <c r="I379" s="275" t="str">
        <f>'Revenue - NHC'!E96</f>
        <v/>
      </c>
    </row>
    <row r="380" spans="9:9" x14ac:dyDescent="0.2">
      <c r="I380" s="275" t="str">
        <f>'Revenue - NHC'!E97</f>
        <v/>
      </c>
    </row>
    <row r="381" spans="9:9" x14ac:dyDescent="0.2">
      <c r="I381" s="275" t="str">
        <f>'Revenue - NHC'!E98</f>
        <v/>
      </c>
    </row>
    <row r="382" spans="9:9" x14ac:dyDescent="0.2">
      <c r="I382" s="275" t="str">
        <f>'Revenue - NHC'!E99</f>
        <v/>
      </c>
    </row>
    <row r="383" spans="9:9" x14ac:dyDescent="0.2">
      <c r="I383" s="275" t="str">
        <f>'Revenue - NHC'!E100</f>
        <v/>
      </c>
    </row>
    <row r="384" spans="9:9" x14ac:dyDescent="0.2">
      <c r="I384" s="275" t="str">
        <f>'Revenue - NHC'!E101</f>
        <v/>
      </c>
    </row>
    <row r="385" spans="9:9" x14ac:dyDescent="0.2">
      <c r="I385" s="275" t="str">
        <f>'Revenue - NHC'!E102</f>
        <v/>
      </c>
    </row>
    <row r="386" spans="9:9" x14ac:dyDescent="0.2">
      <c r="I386" s="275" t="str">
        <f>'Revenue - NHC'!E103</f>
        <v/>
      </c>
    </row>
    <row r="387" spans="9:9" x14ac:dyDescent="0.2">
      <c r="I387" s="275" t="str">
        <f>'Revenue - NHC'!E104</f>
        <v/>
      </c>
    </row>
    <row r="388" spans="9:9" x14ac:dyDescent="0.2">
      <c r="I388" s="275" t="str">
        <f>'Revenue - NHC'!E105</f>
        <v/>
      </c>
    </row>
    <row r="389" spans="9:9" x14ac:dyDescent="0.2">
      <c r="I389" s="275" t="str">
        <f>'Revenue - NHC'!E106</f>
        <v/>
      </c>
    </row>
    <row r="390" spans="9:9" x14ac:dyDescent="0.2">
      <c r="I390" s="275" t="str">
        <f>'Revenue - NHC'!E107</f>
        <v/>
      </c>
    </row>
    <row r="391" spans="9:9" x14ac:dyDescent="0.2">
      <c r="I391" s="275" t="str">
        <f>'Revenue - NHC'!E108</f>
        <v/>
      </c>
    </row>
    <row r="392" spans="9:9" x14ac:dyDescent="0.2">
      <c r="I392" s="275" t="str">
        <f>'Revenue - NHC'!E109</f>
        <v/>
      </c>
    </row>
    <row r="393" spans="9:9" x14ac:dyDescent="0.2">
      <c r="I393" s="275" t="str">
        <f>'Revenue - NHC'!E110</f>
        <v/>
      </c>
    </row>
    <row r="394" spans="9:9" x14ac:dyDescent="0.2">
      <c r="I394" s="275" t="str">
        <f>'Revenue - NHC'!E111</f>
        <v/>
      </c>
    </row>
    <row r="395" spans="9:9" x14ac:dyDescent="0.2">
      <c r="I395" s="275" t="str">
        <f>'Revenue - NHC'!E112</f>
        <v/>
      </c>
    </row>
    <row r="396" spans="9:9" x14ac:dyDescent="0.2">
      <c r="I396" s="275" t="str">
        <f>'Revenue - NHC'!E113</f>
        <v/>
      </c>
    </row>
    <row r="397" spans="9:9" x14ac:dyDescent="0.2">
      <c r="I397" s="275" t="str">
        <f>'Revenue - NHC'!E114</f>
        <v/>
      </c>
    </row>
    <row r="398" spans="9:9" x14ac:dyDescent="0.2">
      <c r="I398" s="275" t="str">
        <f>'Revenue - NHC'!E115</f>
        <v/>
      </c>
    </row>
    <row r="399" spans="9:9" x14ac:dyDescent="0.2">
      <c r="I399" s="275" t="str">
        <f>'Revenue - NHC'!E116</f>
        <v/>
      </c>
    </row>
    <row r="400" spans="9:9" x14ac:dyDescent="0.2">
      <c r="I400" s="275" t="str">
        <f>'Revenue - NHC'!E117</f>
        <v/>
      </c>
    </row>
    <row r="401" spans="9:9" x14ac:dyDescent="0.2">
      <c r="I401" s="275" t="str">
        <f>'Revenue - NHC'!E118</f>
        <v/>
      </c>
    </row>
    <row r="402" spans="9:9" x14ac:dyDescent="0.2">
      <c r="I402" s="275" t="str">
        <f>'Revenue - NHC'!E119</f>
        <v/>
      </c>
    </row>
    <row r="403" spans="9:9" x14ac:dyDescent="0.2">
      <c r="I403" s="275" t="str">
        <f>'Revenue - NHC'!E120</f>
        <v/>
      </c>
    </row>
    <row r="404" spans="9:9" x14ac:dyDescent="0.2">
      <c r="I404" s="275" t="str">
        <f>'Revenue - NHC'!E121</f>
        <v/>
      </c>
    </row>
    <row r="405" spans="9:9" x14ac:dyDescent="0.2">
      <c r="I405" s="275" t="str">
        <f>'Revenue - NHC'!E122</f>
        <v/>
      </c>
    </row>
    <row r="406" spans="9:9" x14ac:dyDescent="0.2">
      <c r="I406" s="275" t="str">
        <f>'Revenue - NHC'!E123</f>
        <v/>
      </c>
    </row>
    <row r="407" spans="9:9" x14ac:dyDescent="0.2">
      <c r="I407" s="275" t="str">
        <f>'Revenue - NHC'!E124</f>
        <v/>
      </c>
    </row>
    <row r="408" spans="9:9" x14ac:dyDescent="0.2">
      <c r="I408" s="275" t="str">
        <f>'Revenue - NHC'!E125</f>
        <v/>
      </c>
    </row>
    <row r="409" spans="9:9" x14ac:dyDescent="0.2">
      <c r="I409" s="275" t="str">
        <f>'Revenue - NHC'!E126</f>
        <v/>
      </c>
    </row>
    <row r="410" spans="9:9" x14ac:dyDescent="0.2">
      <c r="I410" s="275" t="str">
        <f>'Revenue - NHC'!E127</f>
        <v/>
      </c>
    </row>
    <row r="411" spans="9:9" x14ac:dyDescent="0.2">
      <c r="I411" s="275" t="str">
        <f>'Revenue - NHC'!E128</f>
        <v/>
      </c>
    </row>
    <row r="412" spans="9:9" x14ac:dyDescent="0.2">
      <c r="I412" s="275" t="str">
        <f>'Revenue - NHC'!E129</f>
        <v/>
      </c>
    </row>
    <row r="413" spans="9:9" x14ac:dyDescent="0.2">
      <c r="I413" s="275" t="str">
        <f>'Revenue - NHC'!E130</f>
        <v/>
      </c>
    </row>
    <row r="414" spans="9:9" x14ac:dyDescent="0.2">
      <c r="I414" s="275" t="str">
        <f>'Revenue - NHC'!E131</f>
        <v/>
      </c>
    </row>
    <row r="415" spans="9:9" x14ac:dyDescent="0.2">
      <c r="I415" s="275" t="str">
        <f>'Revenue - NHC'!E132</f>
        <v/>
      </c>
    </row>
    <row r="416" spans="9:9" x14ac:dyDescent="0.2">
      <c r="I416" s="275" t="str">
        <f>'Revenue - NHC'!E133</f>
        <v/>
      </c>
    </row>
    <row r="417" spans="9:9" x14ac:dyDescent="0.2">
      <c r="I417" s="275" t="str">
        <f>'Revenue - NHC'!E134</f>
        <v/>
      </c>
    </row>
    <row r="418" spans="9:9" x14ac:dyDescent="0.2">
      <c r="I418" s="275" t="str">
        <f>'Revenue - NHC'!E135</f>
        <v/>
      </c>
    </row>
    <row r="419" spans="9:9" x14ac:dyDescent="0.2">
      <c r="I419" s="275" t="str">
        <f>'Revenue - NHC'!E136</f>
        <v/>
      </c>
    </row>
    <row r="420" spans="9:9" x14ac:dyDescent="0.2">
      <c r="I420" s="275" t="str">
        <f>'Revenue - NHC'!E137</f>
        <v/>
      </c>
    </row>
    <row r="421" spans="9:9" x14ac:dyDescent="0.2">
      <c r="I421" s="275" t="str">
        <f>'Revenue - NHC'!E138</f>
        <v/>
      </c>
    </row>
    <row r="422" spans="9:9" x14ac:dyDescent="0.2">
      <c r="I422" s="275" t="str">
        <f>'Revenue - NHC'!E139</f>
        <v/>
      </c>
    </row>
    <row r="423" spans="9:9" x14ac:dyDescent="0.2">
      <c r="I423" s="275" t="str">
        <f>'Revenue - NHC'!E140</f>
        <v/>
      </c>
    </row>
    <row r="424" spans="9:9" x14ac:dyDescent="0.2">
      <c r="I424" s="275" t="str">
        <f>'Revenue - NHC'!E141</f>
        <v/>
      </c>
    </row>
    <row r="425" spans="9:9" x14ac:dyDescent="0.2">
      <c r="I425" s="275" t="str">
        <f>'Revenue - NHC'!E142</f>
        <v/>
      </c>
    </row>
    <row r="426" spans="9:9" x14ac:dyDescent="0.2">
      <c r="I426" s="275" t="str">
        <f>'Revenue - NHC'!E143</f>
        <v/>
      </c>
    </row>
    <row r="427" spans="9:9" x14ac:dyDescent="0.2">
      <c r="I427" s="275" t="str">
        <f>'Revenue - NHC'!E144</f>
        <v/>
      </c>
    </row>
    <row r="428" spans="9:9" x14ac:dyDescent="0.2">
      <c r="I428" s="275" t="str">
        <f>'Revenue - NHC'!E145</f>
        <v/>
      </c>
    </row>
    <row r="429" spans="9:9" x14ac:dyDescent="0.2">
      <c r="I429" s="275" t="str">
        <f>'Revenue - NHC'!E146</f>
        <v/>
      </c>
    </row>
    <row r="430" spans="9:9" x14ac:dyDescent="0.2">
      <c r="I430" s="275" t="str">
        <f>'Revenue - NHC'!E147</f>
        <v/>
      </c>
    </row>
    <row r="431" spans="9:9" x14ac:dyDescent="0.2">
      <c r="I431" s="275" t="str">
        <f>'Revenue - NHC'!E148</f>
        <v/>
      </c>
    </row>
    <row r="432" spans="9:9" x14ac:dyDescent="0.2">
      <c r="I432" s="275" t="str">
        <f>'Revenue - NHC'!E149</f>
        <v/>
      </c>
    </row>
    <row r="433" spans="9:9" x14ac:dyDescent="0.2">
      <c r="I433" s="275" t="str">
        <f>'Revenue - NHC'!E150</f>
        <v/>
      </c>
    </row>
    <row r="434" spans="9:9" x14ac:dyDescent="0.2">
      <c r="I434" s="275" t="str">
        <f>'Revenue - NHC'!E151</f>
        <v/>
      </c>
    </row>
    <row r="435" spans="9:9" x14ac:dyDescent="0.2">
      <c r="I435" s="275"/>
    </row>
  </sheetData>
  <mergeCells count="299">
    <mergeCell ref="F147:H151"/>
    <mergeCell ref="N147:N151"/>
    <mergeCell ref="Q47:Q51"/>
    <mergeCell ref="O147:O151"/>
    <mergeCell ref="P147:P151"/>
    <mergeCell ref="Q147:Q151"/>
    <mergeCell ref="E22:E26"/>
    <mergeCell ref="F22:H26"/>
    <mergeCell ref="N22:N26"/>
    <mergeCell ref="O22:O26"/>
    <mergeCell ref="P22:P26"/>
    <mergeCell ref="Q22:Q26"/>
    <mergeCell ref="F47:H51"/>
    <mergeCell ref="N47:N51"/>
    <mergeCell ref="O47:O51"/>
    <mergeCell ref="P47:P51"/>
    <mergeCell ref="E27:E31"/>
    <mergeCell ref="F27:H31"/>
    <mergeCell ref="L27:L31"/>
    <mergeCell ref="M27:M31"/>
    <mergeCell ref="N27:N31"/>
    <mergeCell ref="O27:O31"/>
    <mergeCell ref="P27:P31"/>
    <mergeCell ref="Q27:Q31"/>
    <mergeCell ref="F8:H9"/>
    <mergeCell ref="S8:S9"/>
    <mergeCell ref="T8:T9"/>
    <mergeCell ref="N8:R8"/>
    <mergeCell ref="I8:I9"/>
    <mergeCell ref="K8:M8"/>
    <mergeCell ref="R47:R51"/>
    <mergeCell ref="E132:E136"/>
    <mergeCell ref="F132:H136"/>
    <mergeCell ref="N132:N136"/>
    <mergeCell ref="O132:O136"/>
    <mergeCell ref="P132:P136"/>
    <mergeCell ref="Q132:Q136"/>
    <mergeCell ref="R132:R136"/>
    <mergeCell ref="E47:E5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160:R160"/>
    <mergeCell ref="E137:E141"/>
    <mergeCell ref="F137:H141"/>
    <mergeCell ref="N137:N141"/>
    <mergeCell ref="O137:O141"/>
    <mergeCell ref="P137:P141"/>
    <mergeCell ref="Q137:Q141"/>
    <mergeCell ref="R137:R141"/>
    <mergeCell ref="E142:E146"/>
    <mergeCell ref="F142:H146"/>
    <mergeCell ref="N142:N146"/>
    <mergeCell ref="O142:O146"/>
    <mergeCell ref="P142:P146"/>
    <mergeCell ref="Q142:Q146"/>
    <mergeCell ref="R142:R146"/>
    <mergeCell ref="H160:I160"/>
    <mergeCell ref="E152:E156"/>
    <mergeCell ref="F152:H156"/>
    <mergeCell ref="N152:N156"/>
    <mergeCell ref="O152:O156"/>
    <mergeCell ref="P152:P156"/>
    <mergeCell ref="Q152:Q156"/>
    <mergeCell ref="R152:R156"/>
    <mergeCell ref="E147:E151"/>
    <mergeCell ref="R27:R31"/>
    <mergeCell ref="K6:T6"/>
    <mergeCell ref="K147:K151"/>
    <mergeCell ref="L147:L151"/>
    <mergeCell ref="M147:M151"/>
    <mergeCell ref="K152:K156"/>
    <mergeCell ref="L152:L156"/>
    <mergeCell ref="M152:M156"/>
    <mergeCell ref="K132:K136"/>
    <mergeCell ref="L132:L136"/>
    <mergeCell ref="M132:M136"/>
    <mergeCell ref="K137:K141"/>
    <mergeCell ref="L137:L141"/>
    <mergeCell ref="M137:M141"/>
    <mergeCell ref="K142:K146"/>
    <mergeCell ref="L142:L146"/>
    <mergeCell ref="M142:M146"/>
    <mergeCell ref="R147:R151"/>
    <mergeCell ref="K47:K51"/>
    <mergeCell ref="L47:L51"/>
    <mergeCell ref="M47:M51"/>
    <mergeCell ref="L22:L26"/>
    <mergeCell ref="M22:M26"/>
    <mergeCell ref="K27:K31"/>
    <mergeCell ref="R42:R46"/>
    <mergeCell ref="R32:R36"/>
    <mergeCell ref="E37:E41"/>
    <mergeCell ref="F37:H41"/>
    <mergeCell ref="K37:K41"/>
    <mergeCell ref="L37:L41"/>
    <mergeCell ref="M37:M41"/>
    <mergeCell ref="N37:N41"/>
    <mergeCell ref="O37:O41"/>
    <mergeCell ref="P37:P41"/>
    <mergeCell ref="Q37:Q41"/>
    <mergeCell ref="R37:R41"/>
    <mergeCell ref="E32:E36"/>
    <mergeCell ref="F32:H36"/>
    <mergeCell ref="K32:K36"/>
    <mergeCell ref="L32:L36"/>
    <mergeCell ref="M32:M36"/>
    <mergeCell ref="N32:N36"/>
    <mergeCell ref="O32:O36"/>
    <mergeCell ref="P32:P36"/>
    <mergeCell ref="Q32:Q36"/>
    <mergeCell ref="E42:E46"/>
    <mergeCell ref="F42:H46"/>
    <mergeCell ref="K42:K46"/>
    <mergeCell ref="L42:L46"/>
    <mergeCell ref="M42:M46"/>
    <mergeCell ref="N42:N46"/>
    <mergeCell ref="O42:O46"/>
    <mergeCell ref="P42:P46"/>
    <mergeCell ref="Q42:Q46"/>
    <mergeCell ref="R52:R56"/>
    <mergeCell ref="E57:E61"/>
    <mergeCell ref="F57:H61"/>
    <mergeCell ref="K57:K61"/>
    <mergeCell ref="L57:L61"/>
    <mergeCell ref="M57:M61"/>
    <mergeCell ref="N57:N61"/>
    <mergeCell ref="O57:O61"/>
    <mergeCell ref="P57:P61"/>
    <mergeCell ref="Q57:Q61"/>
    <mergeCell ref="R57:R61"/>
    <mergeCell ref="E52:E56"/>
    <mergeCell ref="F52:H56"/>
    <mergeCell ref="K52:K56"/>
    <mergeCell ref="L52:L56"/>
    <mergeCell ref="M52:M56"/>
    <mergeCell ref="N52:N56"/>
    <mergeCell ref="O52:O56"/>
    <mergeCell ref="P52:P56"/>
    <mergeCell ref="Q52:Q56"/>
    <mergeCell ref="R62:R66"/>
    <mergeCell ref="E67:E71"/>
    <mergeCell ref="F67:H71"/>
    <mergeCell ref="K67:K71"/>
    <mergeCell ref="L67:L71"/>
    <mergeCell ref="M67:M71"/>
    <mergeCell ref="N67:N71"/>
    <mergeCell ref="O67:O71"/>
    <mergeCell ref="P67:P71"/>
    <mergeCell ref="Q67:Q71"/>
    <mergeCell ref="R67:R71"/>
    <mergeCell ref="E62:E66"/>
    <mergeCell ref="F62:H66"/>
    <mergeCell ref="K62:K66"/>
    <mergeCell ref="L62:L66"/>
    <mergeCell ref="M62:M66"/>
    <mergeCell ref="N62:N66"/>
    <mergeCell ref="O62:O66"/>
    <mergeCell ref="P62:P66"/>
    <mergeCell ref="Q62:Q66"/>
    <mergeCell ref="R72:R76"/>
    <mergeCell ref="E77:E81"/>
    <mergeCell ref="F77:H81"/>
    <mergeCell ref="K77:K81"/>
    <mergeCell ref="L77:L81"/>
    <mergeCell ref="M77:M81"/>
    <mergeCell ref="N77:N81"/>
    <mergeCell ref="O77:O81"/>
    <mergeCell ref="P77:P81"/>
    <mergeCell ref="Q77:Q81"/>
    <mergeCell ref="R77:R81"/>
    <mergeCell ref="E72:E76"/>
    <mergeCell ref="F72:H76"/>
    <mergeCell ref="K72:K76"/>
    <mergeCell ref="L72:L76"/>
    <mergeCell ref="M72:M76"/>
    <mergeCell ref="N72:N76"/>
    <mergeCell ref="O72:O76"/>
    <mergeCell ref="P72:P76"/>
    <mergeCell ref="Q72:Q76"/>
    <mergeCell ref="R82:R86"/>
    <mergeCell ref="E87:E91"/>
    <mergeCell ref="F87:H91"/>
    <mergeCell ref="K87:K91"/>
    <mergeCell ref="L87:L91"/>
    <mergeCell ref="M87:M91"/>
    <mergeCell ref="N87:N91"/>
    <mergeCell ref="O87:O91"/>
    <mergeCell ref="P87:P91"/>
    <mergeCell ref="Q87:Q91"/>
    <mergeCell ref="R87:R91"/>
    <mergeCell ref="E82:E86"/>
    <mergeCell ref="F82:H86"/>
    <mergeCell ref="K82:K86"/>
    <mergeCell ref="L82:L86"/>
    <mergeCell ref="M82:M86"/>
    <mergeCell ref="N82:N86"/>
    <mergeCell ref="O82:O86"/>
    <mergeCell ref="P82:P86"/>
    <mergeCell ref="Q82:Q86"/>
    <mergeCell ref="R92:R96"/>
    <mergeCell ref="E92:E96"/>
    <mergeCell ref="F92:H96"/>
    <mergeCell ref="K92:K96"/>
    <mergeCell ref="L92:L96"/>
    <mergeCell ref="M92:M96"/>
    <mergeCell ref="N92:N96"/>
    <mergeCell ref="O92:O96"/>
    <mergeCell ref="P92:P96"/>
    <mergeCell ref="Q92:Q96"/>
    <mergeCell ref="R97:R101"/>
    <mergeCell ref="E102:E106"/>
    <mergeCell ref="F102:H106"/>
    <mergeCell ref="K102:K106"/>
    <mergeCell ref="L102:L106"/>
    <mergeCell ref="M102:M106"/>
    <mergeCell ref="N102:N106"/>
    <mergeCell ref="O102:O106"/>
    <mergeCell ref="P102:P106"/>
    <mergeCell ref="Q102:Q106"/>
    <mergeCell ref="R102:R106"/>
    <mergeCell ref="E97:E101"/>
    <mergeCell ref="F97:H101"/>
    <mergeCell ref="K97:K101"/>
    <mergeCell ref="L97:L101"/>
    <mergeCell ref="M97:M101"/>
    <mergeCell ref="N97:N101"/>
    <mergeCell ref="O97:O101"/>
    <mergeCell ref="P97:P101"/>
    <mergeCell ref="Q97:Q101"/>
    <mergeCell ref="E107:E111"/>
    <mergeCell ref="F107:H111"/>
    <mergeCell ref="K107:K111"/>
    <mergeCell ref="L107:L111"/>
    <mergeCell ref="M107:M111"/>
    <mergeCell ref="N107:N111"/>
    <mergeCell ref="O107:O111"/>
    <mergeCell ref="P107:P111"/>
    <mergeCell ref="Q107:Q111"/>
    <mergeCell ref="R107:R111"/>
    <mergeCell ref="E127:E131"/>
    <mergeCell ref="F127:H131"/>
    <mergeCell ref="K127:K131"/>
    <mergeCell ref="L127:L131"/>
    <mergeCell ref="M127:M131"/>
    <mergeCell ref="N127:N131"/>
    <mergeCell ref="O127:O131"/>
    <mergeCell ref="P127:P131"/>
    <mergeCell ref="Q127:Q131"/>
    <mergeCell ref="R127:R131"/>
    <mergeCell ref="E112:E116"/>
    <mergeCell ref="F112:H116"/>
    <mergeCell ref="K112:K116"/>
    <mergeCell ref="L112:L116"/>
    <mergeCell ref="M112:M116"/>
    <mergeCell ref="N112:N116"/>
    <mergeCell ref="O112:O116"/>
    <mergeCell ref="P112:P116"/>
    <mergeCell ref="Q112:Q116"/>
    <mergeCell ref="R112:R116"/>
    <mergeCell ref="E117:E121"/>
    <mergeCell ref="F117:H121"/>
    <mergeCell ref="K117:K121"/>
    <mergeCell ref="L117:L121"/>
    <mergeCell ref="M117:M121"/>
    <mergeCell ref="N117:N121"/>
    <mergeCell ref="O117:O121"/>
    <mergeCell ref="P117:P121"/>
    <mergeCell ref="Q117:Q121"/>
    <mergeCell ref="R117:R121"/>
    <mergeCell ref="E122:E126"/>
    <mergeCell ref="F122:H126"/>
    <mergeCell ref="K122:K126"/>
    <mergeCell ref="L122:L126"/>
    <mergeCell ref="M122:M126"/>
    <mergeCell ref="N122:N126"/>
    <mergeCell ref="O122:O126"/>
    <mergeCell ref="P122:P126"/>
    <mergeCell ref="Q122:Q126"/>
    <mergeCell ref="R122:R126"/>
  </mergeCells>
  <dataValidations disablePrompts="1" count="2">
    <dataValidation type="list" allowBlank="1" showInputMessage="1" showErrorMessage="1" sqref="S12:S15 S137:S140 S122:S125 S117:S120 S72:S75 S67:S70 S142:S145 S47:S50 S57:S60 S152:S155 S42:S45 S37:S40 S32:S35 S27:S30 S22:S25 S17:S20 S62:S65 S52:S55 S147:S150 S82:S85 S77:S80 S92:S95 S87:S90 S132:S135 S102:S105 S97:S100 S112:S115 S107:S110 S127:S130">
      <formula1>$S$289:$S$297</formula1>
    </dataValidation>
    <dataValidation type="list" allowBlank="1" showInputMessage="1" showErrorMessage="1" sqref="I12:I156">
      <formula1>$I$290:$I$390</formula1>
    </dataValidation>
  </dataValidations>
  <pageMargins left="0.25" right="0.25" top="0.75" bottom="0.75" header="0.3" footer="0.3"/>
  <pageSetup paperSize="8"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112" activePane="bottomLeft" state="frozen"/>
      <selection activeCell="A10" sqref="A10"/>
      <selection pane="bottomLeft" activeCell="A112" sqref="A11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Queenscliffe (B)</v>
      </c>
    </row>
    <row r="4" spans="1:9" ht="13.5" thickBot="1" x14ac:dyDescent="0.25">
      <c r="B4" s="764"/>
      <c r="C4" s="764"/>
      <c r="D4" s="764"/>
      <c r="E4" s="764"/>
    </row>
    <row r="5" spans="1:9" ht="6.75" customHeight="1" x14ac:dyDescent="0.2">
      <c r="C5" s="255"/>
      <c r="D5" s="256"/>
      <c r="E5" s="257"/>
      <c r="F5" s="258"/>
      <c r="G5" s="259"/>
      <c r="H5" s="258"/>
      <c r="I5" s="260"/>
    </row>
    <row r="6" spans="1:9" x14ac:dyDescent="0.2">
      <c r="C6" s="13"/>
      <c r="D6" s="14"/>
      <c r="E6" s="841" t="str">
        <f>VLOOKUP(' Instructions'!C9,' Instructions'!Q9:U15,2,FALSE)</f>
        <v>2017-18</v>
      </c>
      <c r="F6" s="842"/>
      <c r="G6" s="842"/>
      <c r="H6" s="843"/>
      <c r="I6" s="31"/>
    </row>
    <row r="7" spans="1:9" ht="6.75" customHeight="1" x14ac:dyDescent="0.2">
      <c r="C7" s="13"/>
      <c r="D7" s="14"/>
      <c r="E7" s="81"/>
      <c r="F7" s="54"/>
      <c r="G7" s="149"/>
      <c r="H7" s="54"/>
      <c r="I7" s="31"/>
    </row>
    <row r="8" spans="1:9" ht="25.5" x14ac:dyDescent="0.2">
      <c r="C8" s="13"/>
      <c r="D8" s="14"/>
      <c r="E8" s="232" t="s">
        <v>92</v>
      </c>
      <c r="F8" s="252" t="s">
        <v>113</v>
      </c>
      <c r="G8" s="233" t="s">
        <v>100</v>
      </c>
      <c r="H8" s="252" t="s">
        <v>90</v>
      </c>
      <c r="I8" s="31"/>
    </row>
    <row r="9" spans="1:9" ht="7.5" customHeight="1" x14ac:dyDescent="0.2">
      <c r="C9" s="13"/>
      <c r="D9" s="14"/>
      <c r="E9" s="81"/>
      <c r="F9" s="55"/>
      <c r="G9" s="149"/>
      <c r="H9" s="54"/>
      <c r="I9" s="31"/>
    </row>
    <row r="10" spans="1:9" ht="127.5" x14ac:dyDescent="0.2">
      <c r="C10" s="13"/>
      <c r="D10" s="19">
        <v>1</v>
      </c>
      <c r="E10" s="690" t="str">
        <f>'[1]Strategic Objective 1'!$B$7</f>
        <v>Aged Services</v>
      </c>
      <c r="F10" s="691" t="s">
        <v>115</v>
      </c>
      <c r="G10" s="698" t="s">
        <v>475</v>
      </c>
      <c r="H10" s="692">
        <f>'[2]10.3.1 Employees FTE status'!$B$29</f>
        <v>6.8552272148826852</v>
      </c>
      <c r="I10" s="31"/>
    </row>
    <row r="11" spans="1:9" s="83" customFormat="1" ht="102" x14ac:dyDescent="0.2">
      <c r="C11" s="84"/>
      <c r="D11" s="85">
        <f>D10+1</f>
        <v>2</v>
      </c>
      <c r="E11" s="693" t="str">
        <f>'[1]Strategic Objective 1'!$B$11</f>
        <v>Active Communities</v>
      </c>
      <c r="F11" s="694" t="s">
        <v>115</v>
      </c>
      <c r="G11" s="549" t="s">
        <v>476</v>
      </c>
      <c r="H11" s="695">
        <f>'[2]10.3.1 Employees FTE status'!$B$38</f>
        <v>0.92105263157894735</v>
      </c>
      <c r="I11" s="86"/>
    </row>
    <row r="12" spans="1:9" ht="114.75" x14ac:dyDescent="0.2">
      <c r="C12" s="13"/>
      <c r="D12" s="19">
        <f>D11+1</f>
        <v>3</v>
      </c>
      <c r="E12" s="693" t="str">
        <f>'[1]Strategic Objective 1'!$B$15</f>
        <v>Community Events</v>
      </c>
      <c r="F12" s="694" t="s">
        <v>115</v>
      </c>
      <c r="G12" s="549" t="s">
        <v>477</v>
      </c>
      <c r="H12" s="696">
        <f>'[2]10.3.1 Employees FTE status'!$B$42</f>
        <v>0.47368421052631576</v>
      </c>
      <c r="I12" s="31"/>
    </row>
    <row r="13" spans="1:9" ht="114.75" x14ac:dyDescent="0.2">
      <c r="C13" s="13"/>
      <c r="D13" s="19">
        <f>D12+1</f>
        <v>4</v>
      </c>
      <c r="E13" s="693" t="str">
        <f>'[1]Strategic Objective 1'!$B$19</f>
        <v>Maternal and Child Health (MCH)</v>
      </c>
      <c r="F13" s="694" t="s">
        <v>115</v>
      </c>
      <c r="G13" s="549" t="s">
        <v>478</v>
      </c>
      <c r="H13" s="696">
        <v>0</v>
      </c>
      <c r="I13" s="31"/>
    </row>
    <row r="14" spans="1:9" ht="127.5" x14ac:dyDescent="0.2">
      <c r="C14" s="13"/>
      <c r="D14" s="19">
        <f>D13+1</f>
        <v>5</v>
      </c>
      <c r="E14" s="693" t="str">
        <f>'[1]Strategic Objective 1'!$B$23</f>
        <v>Kindergarten</v>
      </c>
      <c r="F14" s="694" t="s">
        <v>115</v>
      </c>
      <c r="G14" s="549" t="s">
        <v>479</v>
      </c>
      <c r="H14" s="696">
        <v>0</v>
      </c>
      <c r="I14" s="31"/>
    </row>
    <row r="15" spans="1:9" ht="165.75" x14ac:dyDescent="0.2">
      <c r="C15" s="13"/>
      <c r="D15" s="85">
        <f t="shared" ref="D15:D78" si="0">D14+1</f>
        <v>6</v>
      </c>
      <c r="E15" s="693" t="str">
        <f>'[1]Strategic Objective 1'!$B$27</f>
        <v>Environmental Health</v>
      </c>
      <c r="F15" s="694" t="s">
        <v>115</v>
      </c>
      <c r="G15" s="549" t="s">
        <v>480</v>
      </c>
      <c r="H15" s="696">
        <f>'[2]10.3.1 Employees FTE status'!$B$41</f>
        <v>0.63157894736842102</v>
      </c>
      <c r="I15" s="31"/>
    </row>
    <row r="16" spans="1:9" ht="204" x14ac:dyDescent="0.2">
      <c r="C16" s="13"/>
      <c r="D16" s="19">
        <f t="shared" si="0"/>
        <v>7</v>
      </c>
      <c r="E16" s="693" t="str">
        <f>'[1]Strategic Objective 1'!$B$31&amp;" "&amp;'[1]Strategic Objective 1'!$B$32</f>
        <v>Asset Management and Appearance of Public Places</v>
      </c>
      <c r="F16" s="694" t="s">
        <v>115</v>
      </c>
      <c r="G16" s="549" t="s">
        <v>481</v>
      </c>
      <c r="H16" s="696">
        <v>0</v>
      </c>
      <c r="I16" s="31"/>
    </row>
    <row r="17" spans="3:9" ht="127.5" x14ac:dyDescent="0.2">
      <c r="C17" s="13"/>
      <c r="D17" s="19">
        <f t="shared" si="0"/>
        <v>8</v>
      </c>
      <c r="E17" s="693" t="str">
        <f>'[1]Strategic Objective 1'!$B$35</f>
        <v>Local Laws, Safety and Amenity</v>
      </c>
      <c r="F17" s="694" t="s">
        <v>115</v>
      </c>
      <c r="G17" s="549" t="s">
        <v>482</v>
      </c>
      <c r="H17" s="696">
        <f>'[2]10.3.1 Employees FTE status'!$B$34+(SUM('[3]2017-18 BUDGET'!$D$70:$D$78))</f>
        <v>3.1867408906882595</v>
      </c>
      <c r="I17" s="31"/>
    </row>
    <row r="18" spans="3:9" ht="51" x14ac:dyDescent="0.2">
      <c r="C18" s="13"/>
      <c r="D18" s="19">
        <f t="shared" si="0"/>
        <v>9</v>
      </c>
      <c r="E18" s="693" t="str">
        <f>'[1]Strategic Objective 1'!$B$39</f>
        <v>Street Lighting</v>
      </c>
      <c r="F18" s="694" t="s">
        <v>115</v>
      </c>
      <c r="G18" s="549" t="s">
        <v>483</v>
      </c>
      <c r="H18" s="696">
        <v>0</v>
      </c>
      <c r="I18" s="31"/>
    </row>
    <row r="19" spans="3:9" ht="51" x14ac:dyDescent="0.2">
      <c r="C19" s="13"/>
      <c r="D19" s="85">
        <f t="shared" si="0"/>
        <v>10</v>
      </c>
      <c r="E19" s="693" t="str">
        <f>'[1]Strategic Objective 1'!$B$43</f>
        <v>Powerline Safety</v>
      </c>
      <c r="F19" s="694" t="s">
        <v>115</v>
      </c>
      <c r="G19" s="549" t="s">
        <v>484</v>
      </c>
      <c r="H19" s="696">
        <v>0</v>
      </c>
      <c r="I19" s="31"/>
    </row>
    <row r="20" spans="3:9" ht="114.75" x14ac:dyDescent="0.2">
      <c r="C20" s="13"/>
      <c r="D20" s="19">
        <f t="shared" si="0"/>
        <v>11</v>
      </c>
      <c r="E20" s="693" t="str">
        <f>'[1]Strategic Objective 1'!$B$47</f>
        <v>Library</v>
      </c>
      <c r="F20" s="694" t="s">
        <v>115</v>
      </c>
      <c r="G20" s="549" t="s">
        <v>485</v>
      </c>
      <c r="H20" s="696">
        <v>0</v>
      </c>
      <c r="I20" s="31"/>
    </row>
    <row r="21" spans="3:9" ht="140.25" x14ac:dyDescent="0.2">
      <c r="C21" s="13"/>
      <c r="D21" s="19">
        <f t="shared" si="0"/>
        <v>12</v>
      </c>
      <c r="E21" s="697" t="str">
        <f>'[1]Strategic Objective 1'!$B$51</f>
        <v>Recreation, Arts and Culture</v>
      </c>
      <c r="F21" s="694" t="s">
        <v>115</v>
      </c>
      <c r="G21" s="549" t="s">
        <v>486</v>
      </c>
      <c r="H21" s="696">
        <v>0</v>
      </c>
      <c r="I21" s="31"/>
    </row>
    <row r="22" spans="3:9" ht="153" x14ac:dyDescent="0.2">
      <c r="C22" s="13"/>
      <c r="D22" s="85">
        <f t="shared" si="0"/>
        <v>13</v>
      </c>
      <c r="E22" s="697" t="str">
        <f>'[1]Strategic Objective 2'!$B$7</f>
        <v>Environmental Sustainability</v>
      </c>
      <c r="F22" s="694" t="s">
        <v>99</v>
      </c>
      <c r="G22" s="549" t="s">
        <v>487</v>
      </c>
      <c r="H22" s="696">
        <f>'[2]10.3.1 Employees FTE status'!$B$40</f>
        <v>0.76315789473684215</v>
      </c>
      <c r="I22" s="31"/>
    </row>
    <row r="23" spans="3:9" ht="114.75" x14ac:dyDescent="0.2">
      <c r="C23" s="13"/>
      <c r="D23" s="19">
        <f t="shared" si="0"/>
        <v>14</v>
      </c>
      <c r="E23" s="697" t="str">
        <f>'[1]Strategic Objective 2'!$B$11</f>
        <v>Coastal Protection</v>
      </c>
      <c r="F23" s="694" t="s">
        <v>115</v>
      </c>
      <c r="G23" s="549" t="s">
        <v>488</v>
      </c>
      <c r="H23" s="696">
        <f>'[2]10.3.1 Employees FTE status'!$B$37</f>
        <v>1.1000000000000001</v>
      </c>
      <c r="I23" s="31"/>
    </row>
    <row r="24" spans="3:9" ht="204" x14ac:dyDescent="0.2">
      <c r="C24" s="13"/>
      <c r="D24" s="19">
        <f t="shared" si="0"/>
        <v>15</v>
      </c>
      <c r="E24" s="697" t="str">
        <f>'[1]Strategic Objective 2'!$B$15</f>
        <v>Waste Management and Recycling</v>
      </c>
      <c r="F24" s="694" t="s">
        <v>115</v>
      </c>
      <c r="G24" s="549" t="s">
        <v>489</v>
      </c>
      <c r="H24" s="696">
        <v>0</v>
      </c>
      <c r="I24" s="31"/>
    </row>
    <row r="25" spans="3:9" ht="178.5" x14ac:dyDescent="0.2">
      <c r="C25" s="13"/>
      <c r="D25" s="19">
        <f t="shared" si="0"/>
        <v>16</v>
      </c>
      <c r="E25" s="697" t="str">
        <f>'[1]Strategic Objective 3'!$B$7&amp;" "&amp;'[1]Strategic Objective 3'!$B$8</f>
        <v>Tourist Parks and Boat Ramp Services</v>
      </c>
      <c r="F25" s="694" t="s">
        <v>115</v>
      </c>
      <c r="G25" s="549" t="s">
        <v>490</v>
      </c>
      <c r="H25" s="696">
        <f>'[2]10.3.1 Employees FTE status'!$B$30</f>
        <v>5.9441295546558699</v>
      </c>
      <c r="I25" s="31"/>
    </row>
    <row r="26" spans="3:9" ht="114.75" x14ac:dyDescent="0.2">
      <c r="C26" s="13"/>
      <c r="D26" s="85">
        <f t="shared" si="0"/>
        <v>17</v>
      </c>
      <c r="E26" s="697" t="str">
        <f>'[1]Strategic Objective 3'!$B$11</f>
        <v>Visitor Information Centre (VIC)</v>
      </c>
      <c r="F26" s="694" t="s">
        <v>115</v>
      </c>
      <c r="G26" s="549" t="s">
        <v>491</v>
      </c>
      <c r="H26" s="696">
        <f>'[2]10.3.1 Employees FTE status'!$B$36+(SUM('[3]2017-18 BUDGET'!$D$48:$D$49))</f>
        <v>2.0973684210526318</v>
      </c>
      <c r="I26" s="31"/>
    </row>
    <row r="27" spans="3:9" ht="165.75" x14ac:dyDescent="0.2">
      <c r="C27" s="13"/>
      <c r="D27" s="19">
        <f t="shared" si="0"/>
        <v>18</v>
      </c>
      <c r="E27" s="697" t="str">
        <f>'[1]Strategic Objective 3'!$B$15</f>
        <v>Tourism and Economic Development</v>
      </c>
      <c r="F27" s="694" t="s">
        <v>99</v>
      </c>
      <c r="G27" s="549" t="s">
        <v>492</v>
      </c>
      <c r="H27" s="696">
        <f>'[2]10.3.1 Employees FTE status'!$B$39</f>
        <v>0.89473684210526316</v>
      </c>
      <c r="I27" s="31"/>
    </row>
    <row r="28" spans="3:9" ht="114.75" x14ac:dyDescent="0.2">
      <c r="C28" s="13"/>
      <c r="D28" s="19">
        <f t="shared" si="0"/>
        <v>19</v>
      </c>
      <c r="E28" s="697" t="str">
        <f>'[1]Strategic Objective 4'!$B$7</f>
        <v>Design and Project Management</v>
      </c>
      <c r="F28" s="694" t="s">
        <v>99</v>
      </c>
      <c r="G28" s="549" t="s">
        <v>493</v>
      </c>
      <c r="H28" s="696">
        <f>'[2]10.3.1 Employees FTE status'!$B$35</f>
        <v>1.5</v>
      </c>
      <c r="I28" s="31"/>
    </row>
    <row r="29" spans="3:9" ht="178.5" x14ac:dyDescent="0.2">
      <c r="C29" s="13"/>
      <c r="D29" s="19">
        <f t="shared" si="0"/>
        <v>20</v>
      </c>
      <c r="E29" s="697" t="str">
        <f>'[1]Strategic Objective 4'!$B$11</f>
        <v>Land Use Planning</v>
      </c>
      <c r="F29" s="694" t="s">
        <v>115</v>
      </c>
      <c r="G29" s="549" t="s">
        <v>494</v>
      </c>
      <c r="H29" s="696">
        <f>'[2]10.3.1 Employees FTE status'!$B$33</f>
        <v>2.1447368421052633</v>
      </c>
      <c r="I29" s="31"/>
    </row>
    <row r="30" spans="3:9" ht="102" x14ac:dyDescent="0.2">
      <c r="C30" s="13"/>
      <c r="D30" s="85">
        <f t="shared" si="0"/>
        <v>21</v>
      </c>
      <c r="E30" s="697" t="str">
        <f>'[1]Strategic Objective 4'!$B$15</f>
        <v>Heritage Conservation Advice</v>
      </c>
      <c r="F30" s="694" t="s">
        <v>115</v>
      </c>
      <c r="G30" s="549" t="s">
        <v>495</v>
      </c>
      <c r="H30" s="696">
        <v>0</v>
      </c>
      <c r="I30" s="31"/>
    </row>
    <row r="31" spans="3:9" ht="89.25" x14ac:dyDescent="0.2">
      <c r="C31" s="13"/>
      <c r="D31" s="19">
        <f t="shared" si="0"/>
        <v>22</v>
      </c>
      <c r="E31" s="697" t="str">
        <f>'[1]Strategic Objective 4'!$B$19</f>
        <v>Building Control</v>
      </c>
      <c r="F31" s="694" t="s">
        <v>115</v>
      </c>
      <c r="G31" s="549" t="s">
        <v>496</v>
      </c>
      <c r="H31" s="696">
        <v>0</v>
      </c>
      <c r="I31" s="31"/>
    </row>
    <row r="32" spans="3:9" ht="114.75" x14ac:dyDescent="0.2">
      <c r="C32" s="13"/>
      <c r="D32" s="19">
        <f t="shared" si="0"/>
        <v>23</v>
      </c>
      <c r="E32" s="697" t="str">
        <f>'[1]Strategic Objective 5'!$B$7</f>
        <v>Council Governance</v>
      </c>
      <c r="F32" s="694" t="s">
        <v>99</v>
      </c>
      <c r="G32" s="549" t="s">
        <v>497</v>
      </c>
      <c r="H32" s="696">
        <v>0</v>
      </c>
      <c r="I32" s="31"/>
    </row>
    <row r="33" spans="3:9" ht="140.25" x14ac:dyDescent="0.2">
      <c r="C33" s="13"/>
      <c r="D33" s="85">
        <f t="shared" si="0"/>
        <v>24</v>
      </c>
      <c r="E33" s="697" t="str">
        <f>'[1]Strategic Objective 5'!$B$11&amp;" "&amp;'[1]Strategic Objective 5'!$B$12</f>
        <v>Organisation Performance and Compliance</v>
      </c>
      <c r="F33" s="694" t="s">
        <v>114</v>
      </c>
      <c r="G33" s="549" t="s">
        <v>498</v>
      </c>
      <c r="H33" s="696">
        <f>'[2]10.3.1 Employees FTE status'!$B$28</f>
        <v>6.0210526315789474</v>
      </c>
      <c r="I33" s="31"/>
    </row>
    <row r="34" spans="3:9" ht="153" x14ac:dyDescent="0.2">
      <c r="C34" s="13"/>
      <c r="D34" s="19">
        <f t="shared" si="0"/>
        <v>25</v>
      </c>
      <c r="E34" s="697" t="str">
        <f>'[1]Strategic Objective 5'!$B$15&amp;" "&amp;'[1]Strategic Objective 5'!$B$16</f>
        <v>Community Engagement and Customer Service</v>
      </c>
      <c r="F34" s="694" t="s">
        <v>99</v>
      </c>
      <c r="G34" s="549" t="s">
        <v>499</v>
      </c>
      <c r="H34" s="696">
        <f>'[2]10.3.1 Employees FTE status'!$B$31+(SUM('[3]2017-18 BUDGET'!$D$97:$D$98))-0.1</f>
        <v>5.5315789473684207</v>
      </c>
      <c r="I34" s="31"/>
    </row>
    <row r="35" spans="3:9" ht="267.75" x14ac:dyDescent="0.2">
      <c r="C35" s="13"/>
      <c r="D35" s="19">
        <f t="shared" si="0"/>
        <v>26</v>
      </c>
      <c r="E35" s="697" t="str">
        <f>'[1]Strategic Objective 5'!$B$19</f>
        <v>Financial and Risk Management</v>
      </c>
      <c r="F35" s="694" t="s">
        <v>114</v>
      </c>
      <c r="G35" s="549" t="s">
        <v>500</v>
      </c>
      <c r="H35" s="696">
        <f>'[2]10.3.1 Employees FTE status'!$B$32</f>
        <v>3.8210526315789473</v>
      </c>
      <c r="I35" s="31"/>
    </row>
    <row r="36" spans="3:9" x14ac:dyDescent="0.2">
      <c r="C36" s="13"/>
      <c r="D36" s="19">
        <f t="shared" si="0"/>
        <v>27</v>
      </c>
      <c r="E36" s="99"/>
      <c r="F36" s="103"/>
      <c r="G36" s="549"/>
      <c r="H36" s="102"/>
      <c r="I36" s="31"/>
    </row>
    <row r="37" spans="3:9" x14ac:dyDescent="0.2">
      <c r="C37" s="13"/>
      <c r="D37" s="85">
        <f t="shared" si="0"/>
        <v>28</v>
      </c>
      <c r="E37" s="697" t="s">
        <v>502</v>
      </c>
      <c r="F37" s="694" t="s">
        <v>115</v>
      </c>
      <c r="G37" s="701" t="s">
        <v>501</v>
      </c>
      <c r="H37" s="696">
        <f>'[2]10.3.1 Employees FTE status'!$B$46</f>
        <v>1.6</v>
      </c>
      <c r="I37" s="31"/>
    </row>
    <row r="38" spans="3:9" x14ac:dyDescent="0.2">
      <c r="C38" s="13"/>
      <c r="D38" s="19">
        <f t="shared" si="0"/>
        <v>29</v>
      </c>
      <c r="E38" s="99"/>
      <c r="F38" s="103"/>
      <c r="G38" s="549"/>
      <c r="H38" s="102"/>
      <c r="I38" s="31"/>
    </row>
    <row r="39" spans="3:9" x14ac:dyDescent="0.2">
      <c r="C39" s="13"/>
      <c r="D39" s="19">
        <f t="shared" si="0"/>
        <v>30</v>
      </c>
      <c r="E39" s="99"/>
      <c r="F39" s="103"/>
      <c r="G39" s="549"/>
      <c r="H39" s="102"/>
      <c r="I39" s="31"/>
    </row>
    <row r="40" spans="3:9" x14ac:dyDescent="0.2">
      <c r="C40" s="13"/>
      <c r="D40" s="19">
        <f t="shared" si="0"/>
        <v>31</v>
      </c>
      <c r="E40" s="99"/>
      <c r="F40" s="103"/>
      <c r="G40" s="549"/>
      <c r="H40" s="102"/>
      <c r="I40" s="31"/>
    </row>
    <row r="41" spans="3:9" x14ac:dyDescent="0.2">
      <c r="C41" s="13"/>
      <c r="D41" s="85">
        <f t="shared" si="0"/>
        <v>32</v>
      </c>
      <c r="E41" s="99"/>
      <c r="F41" s="103"/>
      <c r="G41" s="549"/>
      <c r="H41" s="102"/>
      <c r="I41" s="31"/>
    </row>
    <row r="42" spans="3:9" x14ac:dyDescent="0.2">
      <c r="C42" s="13"/>
      <c r="D42" s="19">
        <f t="shared" si="0"/>
        <v>33</v>
      </c>
      <c r="E42" s="99"/>
      <c r="F42" s="103"/>
      <c r="G42" s="549"/>
      <c r="H42" s="102"/>
      <c r="I42" s="31"/>
    </row>
    <row r="43" spans="3:9" x14ac:dyDescent="0.2">
      <c r="C43" s="13"/>
      <c r="D43" s="19">
        <f t="shared" si="0"/>
        <v>34</v>
      </c>
      <c r="E43" s="99"/>
      <c r="F43" s="103"/>
      <c r="G43" s="549"/>
      <c r="H43" s="102"/>
      <c r="I43" s="31"/>
    </row>
    <row r="44" spans="3:9" x14ac:dyDescent="0.2">
      <c r="C44" s="13"/>
      <c r="D44" s="85">
        <f t="shared" si="0"/>
        <v>35</v>
      </c>
      <c r="E44" s="99"/>
      <c r="F44" s="103"/>
      <c r="G44" s="549"/>
      <c r="H44" s="102"/>
      <c r="I44" s="31"/>
    </row>
    <row r="45" spans="3:9" x14ac:dyDescent="0.2">
      <c r="C45" s="13"/>
      <c r="D45" s="19">
        <f t="shared" si="0"/>
        <v>36</v>
      </c>
      <c r="E45" s="99"/>
      <c r="F45" s="103"/>
      <c r="G45" s="549"/>
      <c r="H45" s="102"/>
      <c r="I45" s="31"/>
    </row>
    <row r="46" spans="3:9" x14ac:dyDescent="0.2">
      <c r="C46" s="13"/>
      <c r="D46" s="19">
        <f t="shared" si="0"/>
        <v>37</v>
      </c>
      <c r="E46" s="99"/>
      <c r="F46" s="103"/>
      <c r="G46" s="549"/>
      <c r="H46" s="102"/>
      <c r="I46" s="31"/>
    </row>
    <row r="47" spans="3:9" x14ac:dyDescent="0.2">
      <c r="C47" s="13"/>
      <c r="D47" s="19">
        <f t="shared" si="0"/>
        <v>38</v>
      </c>
      <c r="E47" s="99"/>
      <c r="F47" s="103"/>
      <c r="G47" s="549"/>
      <c r="H47" s="102"/>
      <c r="I47" s="31"/>
    </row>
    <row r="48" spans="3:9" x14ac:dyDescent="0.2">
      <c r="C48" s="13"/>
      <c r="D48" s="85">
        <f t="shared" si="0"/>
        <v>39</v>
      </c>
      <c r="E48" s="99"/>
      <c r="F48" s="103"/>
      <c r="G48" s="549"/>
      <c r="H48" s="102"/>
      <c r="I48" s="31"/>
    </row>
    <row r="49" spans="3:9" x14ac:dyDescent="0.2">
      <c r="C49" s="13"/>
      <c r="D49" s="19">
        <f t="shared" si="0"/>
        <v>40</v>
      </c>
      <c r="E49" s="99"/>
      <c r="F49" s="103"/>
      <c r="G49" s="549"/>
      <c r="H49" s="102"/>
      <c r="I49" s="31"/>
    </row>
    <row r="50" spans="3:9" x14ac:dyDescent="0.2">
      <c r="C50" s="13"/>
      <c r="D50" s="19">
        <f t="shared" si="0"/>
        <v>41</v>
      </c>
      <c r="E50" s="99"/>
      <c r="F50" s="103"/>
      <c r="G50" s="549"/>
      <c r="H50" s="102"/>
      <c r="I50" s="31"/>
    </row>
    <row r="51" spans="3:9" x14ac:dyDescent="0.2">
      <c r="C51" s="13"/>
      <c r="D51" s="19">
        <f t="shared" si="0"/>
        <v>42</v>
      </c>
      <c r="E51" s="99"/>
      <c r="F51" s="103"/>
      <c r="G51" s="549"/>
      <c r="H51" s="102"/>
      <c r="I51" s="31"/>
    </row>
    <row r="52" spans="3:9" x14ac:dyDescent="0.2">
      <c r="C52" s="13"/>
      <c r="D52" s="85">
        <f t="shared" si="0"/>
        <v>43</v>
      </c>
      <c r="E52" s="99"/>
      <c r="F52" s="103"/>
      <c r="G52" s="549"/>
      <c r="H52" s="102"/>
      <c r="I52" s="31"/>
    </row>
    <row r="53" spans="3:9" x14ac:dyDescent="0.2">
      <c r="C53" s="13"/>
      <c r="D53" s="19">
        <f t="shared" si="0"/>
        <v>44</v>
      </c>
      <c r="E53" s="99"/>
      <c r="F53" s="103"/>
      <c r="G53" s="549"/>
      <c r="H53" s="102"/>
      <c r="I53" s="31"/>
    </row>
    <row r="54" spans="3:9" x14ac:dyDescent="0.2">
      <c r="C54" s="13"/>
      <c r="D54" s="19">
        <f t="shared" si="0"/>
        <v>45</v>
      </c>
      <c r="E54" s="99"/>
      <c r="F54" s="103"/>
      <c r="G54" s="549"/>
      <c r="H54" s="102"/>
      <c r="I54" s="31"/>
    </row>
    <row r="55" spans="3:9" x14ac:dyDescent="0.2">
      <c r="C55" s="13"/>
      <c r="D55" s="85">
        <f t="shared" si="0"/>
        <v>46</v>
      </c>
      <c r="E55" s="99"/>
      <c r="F55" s="103"/>
      <c r="G55" s="549"/>
      <c r="H55" s="102"/>
      <c r="I55" s="31"/>
    </row>
    <row r="56" spans="3:9" x14ac:dyDescent="0.2">
      <c r="C56" s="13"/>
      <c r="D56" s="19">
        <f t="shared" si="0"/>
        <v>47</v>
      </c>
      <c r="E56" s="99"/>
      <c r="F56" s="103"/>
      <c r="G56" s="549"/>
      <c r="H56" s="102"/>
      <c r="I56" s="31"/>
    </row>
    <row r="57" spans="3:9" x14ac:dyDescent="0.2">
      <c r="C57" s="13"/>
      <c r="D57" s="19">
        <f t="shared" si="0"/>
        <v>48</v>
      </c>
      <c r="E57" s="99"/>
      <c r="F57" s="103"/>
      <c r="G57" s="549"/>
      <c r="H57" s="102"/>
      <c r="I57" s="31"/>
    </row>
    <row r="58" spans="3:9" x14ac:dyDescent="0.2">
      <c r="C58" s="13"/>
      <c r="D58" s="19">
        <f t="shared" si="0"/>
        <v>49</v>
      </c>
      <c r="E58" s="99"/>
      <c r="F58" s="103"/>
      <c r="G58" s="549"/>
      <c r="H58" s="102"/>
      <c r="I58" s="31"/>
    </row>
    <row r="59" spans="3:9" x14ac:dyDescent="0.2">
      <c r="C59" s="13"/>
      <c r="D59" s="85">
        <f t="shared" si="0"/>
        <v>50</v>
      </c>
      <c r="E59" s="99"/>
      <c r="F59" s="103"/>
      <c r="G59" s="549"/>
      <c r="H59" s="102"/>
      <c r="I59" s="31"/>
    </row>
    <row r="60" spans="3:9" x14ac:dyDescent="0.2">
      <c r="C60" s="13"/>
      <c r="D60" s="19">
        <f t="shared" si="0"/>
        <v>51</v>
      </c>
      <c r="E60" s="99"/>
      <c r="F60" s="103"/>
      <c r="G60" s="549"/>
      <c r="H60" s="102"/>
      <c r="I60" s="31"/>
    </row>
    <row r="61" spans="3:9" x14ac:dyDescent="0.2">
      <c r="C61" s="13"/>
      <c r="D61" s="19">
        <f t="shared" si="0"/>
        <v>52</v>
      </c>
      <c r="E61" s="99"/>
      <c r="F61" s="103"/>
      <c r="G61" s="549"/>
      <c r="H61" s="102"/>
      <c r="I61" s="31"/>
    </row>
    <row r="62" spans="3:9" x14ac:dyDescent="0.2">
      <c r="C62" s="13"/>
      <c r="D62" s="19">
        <f t="shared" si="0"/>
        <v>53</v>
      </c>
      <c r="E62" s="99"/>
      <c r="F62" s="103"/>
      <c r="G62" s="549"/>
      <c r="H62" s="102"/>
      <c r="I62" s="31"/>
    </row>
    <row r="63" spans="3:9" x14ac:dyDescent="0.2">
      <c r="C63" s="13"/>
      <c r="D63" s="85">
        <f t="shared" si="0"/>
        <v>54</v>
      </c>
      <c r="E63" s="99"/>
      <c r="F63" s="103"/>
      <c r="G63" s="549"/>
      <c r="H63" s="102"/>
      <c r="I63" s="31"/>
    </row>
    <row r="64" spans="3:9" x14ac:dyDescent="0.2">
      <c r="C64" s="13"/>
      <c r="D64" s="19">
        <f t="shared" si="0"/>
        <v>55</v>
      </c>
      <c r="E64" s="99"/>
      <c r="F64" s="101"/>
      <c r="G64" s="549"/>
      <c r="H64" s="102"/>
      <c r="I64" s="31"/>
    </row>
    <row r="65" spans="3:9" x14ac:dyDescent="0.2">
      <c r="C65" s="13"/>
      <c r="D65" s="19">
        <f t="shared" si="0"/>
        <v>56</v>
      </c>
      <c r="E65" s="99"/>
      <c r="F65" s="101"/>
      <c r="G65" s="549"/>
      <c r="H65" s="102"/>
      <c r="I65" s="31"/>
    </row>
    <row r="66" spans="3:9" x14ac:dyDescent="0.2">
      <c r="C66" s="13"/>
      <c r="D66" s="85">
        <f t="shared" si="0"/>
        <v>57</v>
      </c>
      <c r="E66" s="99"/>
      <c r="F66" s="101"/>
      <c r="G66" s="549"/>
      <c r="H66" s="102"/>
      <c r="I66" s="31"/>
    </row>
    <row r="67" spans="3:9" x14ac:dyDescent="0.2">
      <c r="C67" s="13"/>
      <c r="D67" s="19">
        <f t="shared" si="0"/>
        <v>58</v>
      </c>
      <c r="E67" s="99"/>
      <c r="F67" s="101"/>
      <c r="G67" s="549"/>
      <c r="H67" s="102"/>
      <c r="I67" s="31"/>
    </row>
    <row r="68" spans="3:9" x14ac:dyDescent="0.2">
      <c r="C68" s="13"/>
      <c r="D68" s="19">
        <f t="shared" si="0"/>
        <v>59</v>
      </c>
      <c r="E68" s="99"/>
      <c r="F68" s="101"/>
      <c r="G68" s="549"/>
      <c r="H68" s="102"/>
      <c r="I68" s="31"/>
    </row>
    <row r="69" spans="3:9" x14ac:dyDescent="0.2">
      <c r="C69" s="13"/>
      <c r="D69" s="19">
        <f t="shared" si="0"/>
        <v>60</v>
      </c>
      <c r="E69" s="99"/>
      <c r="F69" s="101"/>
      <c r="G69" s="549"/>
      <c r="H69" s="102"/>
      <c r="I69" s="31"/>
    </row>
    <row r="70" spans="3:9" x14ac:dyDescent="0.2">
      <c r="C70" s="13"/>
      <c r="D70" s="85">
        <f t="shared" si="0"/>
        <v>61</v>
      </c>
      <c r="E70" s="99"/>
      <c r="F70" s="101"/>
      <c r="G70" s="549"/>
      <c r="H70" s="102"/>
      <c r="I70" s="31"/>
    </row>
    <row r="71" spans="3:9" x14ac:dyDescent="0.2">
      <c r="C71" s="13"/>
      <c r="D71" s="19">
        <f t="shared" si="0"/>
        <v>62</v>
      </c>
      <c r="E71" s="99"/>
      <c r="F71" s="101"/>
      <c r="G71" s="549"/>
      <c r="H71" s="102"/>
      <c r="I71" s="31"/>
    </row>
    <row r="72" spans="3:9" x14ac:dyDescent="0.2">
      <c r="C72" s="13"/>
      <c r="D72" s="19">
        <f t="shared" si="0"/>
        <v>63</v>
      </c>
      <c r="E72" s="99"/>
      <c r="F72" s="101"/>
      <c r="G72" s="549"/>
      <c r="H72" s="102"/>
      <c r="I72" s="31"/>
    </row>
    <row r="73" spans="3:9" x14ac:dyDescent="0.2">
      <c r="C73" s="13"/>
      <c r="D73" s="19">
        <f t="shared" si="0"/>
        <v>64</v>
      </c>
      <c r="E73" s="99"/>
      <c r="F73" s="101"/>
      <c r="G73" s="549"/>
      <c r="H73" s="102"/>
      <c r="I73" s="31"/>
    </row>
    <row r="74" spans="3:9" x14ac:dyDescent="0.2">
      <c r="C74" s="13"/>
      <c r="D74" s="85">
        <f t="shared" si="0"/>
        <v>65</v>
      </c>
      <c r="E74" s="99"/>
      <c r="F74" s="101"/>
      <c r="G74" s="549"/>
      <c r="H74" s="102"/>
      <c r="I74" s="31"/>
    </row>
    <row r="75" spans="3:9" x14ac:dyDescent="0.2">
      <c r="C75" s="13"/>
      <c r="D75" s="19">
        <f t="shared" si="0"/>
        <v>66</v>
      </c>
      <c r="E75" s="99"/>
      <c r="F75" s="101"/>
      <c r="G75" s="549"/>
      <c r="H75" s="102"/>
      <c r="I75" s="31"/>
    </row>
    <row r="76" spans="3:9" x14ac:dyDescent="0.2">
      <c r="C76" s="13"/>
      <c r="D76" s="19">
        <f t="shared" si="0"/>
        <v>67</v>
      </c>
      <c r="E76" s="99"/>
      <c r="F76" s="101"/>
      <c r="G76" s="549"/>
      <c r="H76" s="102"/>
      <c r="I76" s="31"/>
    </row>
    <row r="77" spans="3:9" x14ac:dyDescent="0.2">
      <c r="C77" s="13"/>
      <c r="D77" s="85">
        <f t="shared" si="0"/>
        <v>68</v>
      </c>
      <c r="E77" s="99"/>
      <c r="F77" s="101"/>
      <c r="G77" s="549"/>
      <c r="H77" s="102"/>
      <c r="I77" s="31"/>
    </row>
    <row r="78" spans="3:9" x14ac:dyDescent="0.2">
      <c r="C78" s="13"/>
      <c r="D78" s="19">
        <f t="shared" si="0"/>
        <v>69</v>
      </c>
      <c r="E78" s="99"/>
      <c r="F78" s="101"/>
      <c r="G78" s="549"/>
      <c r="H78" s="102"/>
      <c r="I78" s="31"/>
    </row>
    <row r="79" spans="3:9" x14ac:dyDescent="0.2">
      <c r="C79" s="13"/>
      <c r="D79" s="19">
        <f t="shared" ref="D79:D142" si="1">D78+1</f>
        <v>70</v>
      </c>
      <c r="E79" s="99"/>
      <c r="F79" s="101"/>
      <c r="G79" s="549"/>
      <c r="H79" s="102"/>
      <c r="I79" s="31"/>
    </row>
    <row r="80" spans="3:9" x14ac:dyDescent="0.2">
      <c r="C80" s="13"/>
      <c r="D80" s="19">
        <f t="shared" si="1"/>
        <v>71</v>
      </c>
      <c r="E80" s="99"/>
      <c r="F80" s="101"/>
      <c r="G80" s="549"/>
      <c r="H80" s="102"/>
      <c r="I80" s="31"/>
    </row>
    <row r="81" spans="3:9" x14ac:dyDescent="0.2">
      <c r="C81" s="13"/>
      <c r="D81" s="85">
        <f t="shared" si="1"/>
        <v>72</v>
      </c>
      <c r="E81" s="99"/>
      <c r="F81" s="101"/>
      <c r="G81" s="549"/>
      <c r="H81" s="102"/>
      <c r="I81" s="31"/>
    </row>
    <row r="82" spans="3:9" x14ac:dyDescent="0.2">
      <c r="C82" s="13"/>
      <c r="D82" s="19">
        <f t="shared" si="1"/>
        <v>73</v>
      </c>
      <c r="E82" s="99"/>
      <c r="F82" s="101"/>
      <c r="G82" s="549"/>
      <c r="H82" s="102"/>
      <c r="I82" s="31"/>
    </row>
    <row r="83" spans="3:9" x14ac:dyDescent="0.2">
      <c r="C83" s="13"/>
      <c r="D83" s="19">
        <f t="shared" si="1"/>
        <v>74</v>
      </c>
      <c r="E83" s="99"/>
      <c r="F83" s="101"/>
      <c r="G83" s="549"/>
      <c r="H83" s="102"/>
      <c r="I83" s="31"/>
    </row>
    <row r="84" spans="3:9" x14ac:dyDescent="0.2">
      <c r="C84" s="13"/>
      <c r="D84" s="19">
        <f t="shared" si="1"/>
        <v>75</v>
      </c>
      <c r="E84" s="99"/>
      <c r="F84" s="101"/>
      <c r="G84" s="549"/>
      <c r="H84" s="102"/>
      <c r="I84" s="31"/>
    </row>
    <row r="85" spans="3:9" x14ac:dyDescent="0.2">
      <c r="C85" s="13"/>
      <c r="D85" s="85">
        <f t="shared" si="1"/>
        <v>76</v>
      </c>
      <c r="E85" s="99"/>
      <c r="F85" s="101"/>
      <c r="G85" s="549"/>
      <c r="H85" s="102"/>
      <c r="I85" s="31"/>
    </row>
    <row r="86" spans="3:9" x14ac:dyDescent="0.2">
      <c r="C86" s="13"/>
      <c r="D86" s="19">
        <f t="shared" si="1"/>
        <v>77</v>
      </c>
      <c r="E86" s="99"/>
      <c r="F86" s="101"/>
      <c r="G86" s="549"/>
      <c r="H86" s="102"/>
      <c r="I86" s="31"/>
    </row>
    <row r="87" spans="3:9" x14ac:dyDescent="0.2">
      <c r="C87" s="13"/>
      <c r="D87" s="19">
        <f t="shared" si="1"/>
        <v>78</v>
      </c>
      <c r="E87" s="99"/>
      <c r="F87" s="101"/>
      <c r="G87" s="549"/>
      <c r="H87" s="102"/>
      <c r="I87" s="31"/>
    </row>
    <row r="88" spans="3:9" x14ac:dyDescent="0.2">
      <c r="C88" s="13"/>
      <c r="D88" s="85">
        <f t="shared" si="1"/>
        <v>79</v>
      </c>
      <c r="E88" s="99"/>
      <c r="F88" s="101"/>
      <c r="G88" s="549"/>
      <c r="H88" s="102"/>
      <c r="I88" s="31"/>
    </row>
    <row r="89" spans="3:9" x14ac:dyDescent="0.2">
      <c r="C89" s="13"/>
      <c r="D89" s="19">
        <f t="shared" si="1"/>
        <v>80</v>
      </c>
      <c r="E89" s="99"/>
      <c r="F89" s="101"/>
      <c r="G89" s="549"/>
      <c r="H89" s="102"/>
      <c r="I89" s="31"/>
    </row>
    <row r="90" spans="3:9" x14ac:dyDescent="0.2">
      <c r="C90" s="13"/>
      <c r="D90" s="19">
        <f t="shared" si="1"/>
        <v>81</v>
      </c>
      <c r="E90" s="99"/>
      <c r="F90" s="101"/>
      <c r="G90" s="549"/>
      <c r="H90" s="102"/>
      <c r="I90" s="31"/>
    </row>
    <row r="91" spans="3:9" x14ac:dyDescent="0.2">
      <c r="C91" s="13"/>
      <c r="D91" s="19">
        <f t="shared" si="1"/>
        <v>82</v>
      </c>
      <c r="E91" s="99"/>
      <c r="F91" s="101"/>
      <c r="G91" s="549"/>
      <c r="H91" s="102"/>
      <c r="I91" s="31"/>
    </row>
    <row r="92" spans="3:9" x14ac:dyDescent="0.2">
      <c r="C92" s="13"/>
      <c r="D92" s="85">
        <f t="shared" si="1"/>
        <v>83</v>
      </c>
      <c r="E92" s="99"/>
      <c r="F92" s="101"/>
      <c r="G92" s="549"/>
      <c r="H92" s="102"/>
      <c r="I92" s="31"/>
    </row>
    <row r="93" spans="3:9" x14ac:dyDescent="0.2">
      <c r="C93" s="13"/>
      <c r="D93" s="19">
        <f t="shared" si="1"/>
        <v>84</v>
      </c>
      <c r="E93" s="99"/>
      <c r="F93" s="101"/>
      <c r="G93" s="549"/>
      <c r="H93" s="102"/>
      <c r="I93" s="31"/>
    </row>
    <row r="94" spans="3:9" x14ac:dyDescent="0.2">
      <c r="C94" s="13"/>
      <c r="D94" s="19">
        <f t="shared" si="1"/>
        <v>85</v>
      </c>
      <c r="E94" s="99"/>
      <c r="F94" s="101"/>
      <c r="G94" s="549"/>
      <c r="H94" s="102"/>
      <c r="I94" s="31"/>
    </row>
    <row r="95" spans="3:9" x14ac:dyDescent="0.2">
      <c r="C95" s="13"/>
      <c r="D95" s="19">
        <f t="shared" si="1"/>
        <v>86</v>
      </c>
      <c r="E95" s="99"/>
      <c r="F95" s="101"/>
      <c r="G95" s="549"/>
      <c r="H95" s="102"/>
      <c r="I95" s="31"/>
    </row>
    <row r="96" spans="3:9" x14ac:dyDescent="0.2">
      <c r="C96" s="13"/>
      <c r="D96" s="85">
        <f t="shared" si="1"/>
        <v>87</v>
      </c>
      <c r="E96" s="99"/>
      <c r="F96" s="101"/>
      <c r="G96" s="549"/>
      <c r="H96" s="102"/>
      <c r="I96" s="31"/>
    </row>
    <row r="97" spans="3:9" x14ac:dyDescent="0.2">
      <c r="C97" s="13"/>
      <c r="D97" s="19">
        <f t="shared" si="1"/>
        <v>88</v>
      </c>
      <c r="E97" s="99"/>
      <c r="F97" s="101"/>
      <c r="G97" s="549"/>
      <c r="H97" s="102"/>
      <c r="I97" s="31"/>
    </row>
    <row r="98" spans="3:9" x14ac:dyDescent="0.2">
      <c r="C98" s="13"/>
      <c r="D98" s="19">
        <f t="shared" si="1"/>
        <v>89</v>
      </c>
      <c r="E98" s="99"/>
      <c r="F98" s="101"/>
      <c r="G98" s="549"/>
      <c r="H98" s="102"/>
      <c r="I98" s="31"/>
    </row>
    <row r="99" spans="3:9" x14ac:dyDescent="0.2">
      <c r="C99" s="13"/>
      <c r="D99" s="85">
        <f t="shared" si="1"/>
        <v>90</v>
      </c>
      <c r="E99" s="99"/>
      <c r="F99" s="101"/>
      <c r="G99" s="549"/>
      <c r="H99" s="102"/>
      <c r="I99" s="31"/>
    </row>
    <row r="100" spans="3:9" x14ac:dyDescent="0.2">
      <c r="C100" s="13"/>
      <c r="D100" s="19">
        <f t="shared" si="1"/>
        <v>91</v>
      </c>
      <c r="E100" s="99"/>
      <c r="F100" s="101"/>
      <c r="G100" s="549"/>
      <c r="H100" s="102"/>
      <c r="I100" s="31"/>
    </row>
    <row r="101" spans="3:9" x14ac:dyDescent="0.2">
      <c r="C101" s="13"/>
      <c r="D101" s="19">
        <f t="shared" si="1"/>
        <v>92</v>
      </c>
      <c r="E101" s="99"/>
      <c r="F101" s="101"/>
      <c r="G101" s="549"/>
      <c r="H101" s="102"/>
      <c r="I101" s="31"/>
    </row>
    <row r="102" spans="3:9" x14ac:dyDescent="0.2">
      <c r="C102" s="13"/>
      <c r="D102" s="19">
        <f t="shared" si="1"/>
        <v>93</v>
      </c>
      <c r="E102" s="99"/>
      <c r="F102" s="101"/>
      <c r="G102" s="549"/>
      <c r="H102" s="102"/>
      <c r="I102" s="31"/>
    </row>
    <row r="103" spans="3:9" x14ac:dyDescent="0.2">
      <c r="C103" s="13"/>
      <c r="D103" s="85">
        <f t="shared" si="1"/>
        <v>94</v>
      </c>
      <c r="E103" s="99"/>
      <c r="F103" s="101"/>
      <c r="G103" s="549"/>
      <c r="H103" s="102"/>
      <c r="I103" s="31"/>
    </row>
    <row r="104" spans="3:9" x14ac:dyDescent="0.2">
      <c r="C104" s="13"/>
      <c r="D104" s="19">
        <f t="shared" si="1"/>
        <v>95</v>
      </c>
      <c r="E104" s="99"/>
      <c r="F104" s="101"/>
      <c r="G104" s="549"/>
      <c r="H104" s="102"/>
      <c r="I104" s="31"/>
    </row>
    <row r="105" spans="3:9" x14ac:dyDescent="0.2">
      <c r="C105" s="13"/>
      <c r="D105" s="19">
        <f t="shared" si="1"/>
        <v>96</v>
      </c>
      <c r="E105" s="99"/>
      <c r="F105" s="101"/>
      <c r="G105" s="549"/>
      <c r="H105" s="102"/>
      <c r="I105" s="31"/>
    </row>
    <row r="106" spans="3:9" x14ac:dyDescent="0.2">
      <c r="C106" s="13"/>
      <c r="D106" s="19">
        <f t="shared" si="1"/>
        <v>97</v>
      </c>
      <c r="E106" s="99"/>
      <c r="F106" s="101"/>
      <c r="G106" s="549"/>
      <c r="H106" s="102"/>
      <c r="I106" s="31"/>
    </row>
    <row r="107" spans="3:9" x14ac:dyDescent="0.2">
      <c r="C107" s="13"/>
      <c r="D107" s="85">
        <f t="shared" si="1"/>
        <v>98</v>
      </c>
      <c r="E107" s="99"/>
      <c r="F107" s="101"/>
      <c r="G107" s="549"/>
      <c r="H107" s="102"/>
      <c r="I107" s="31"/>
    </row>
    <row r="108" spans="3:9" x14ac:dyDescent="0.2">
      <c r="C108" s="13"/>
      <c r="D108" s="19">
        <f t="shared" si="1"/>
        <v>99</v>
      </c>
      <c r="E108" s="99"/>
      <c r="F108" s="101"/>
      <c r="G108" s="549"/>
      <c r="H108" s="102"/>
      <c r="I108" s="31"/>
    </row>
    <row r="109" spans="3:9" x14ac:dyDescent="0.2">
      <c r="C109" s="13"/>
      <c r="D109" s="19">
        <f t="shared" si="1"/>
        <v>100</v>
      </c>
      <c r="E109" s="99"/>
      <c r="F109" s="101"/>
      <c r="G109" s="549"/>
      <c r="H109" s="102"/>
      <c r="I109" s="31"/>
    </row>
    <row r="110" spans="3:9" x14ac:dyDescent="0.2">
      <c r="C110" s="13"/>
      <c r="D110" s="253">
        <f t="shared" si="1"/>
        <v>101</v>
      </c>
      <c r="E110" s="99"/>
      <c r="F110" s="101"/>
      <c r="G110" s="549"/>
      <c r="H110" s="102"/>
      <c r="I110" s="254"/>
    </row>
    <row r="111" spans="3:9" x14ac:dyDescent="0.2">
      <c r="C111" s="13"/>
      <c r="D111" s="85">
        <f t="shared" si="1"/>
        <v>102</v>
      </c>
      <c r="E111" s="99"/>
      <c r="F111" s="101"/>
      <c r="G111" s="549"/>
      <c r="H111" s="102"/>
      <c r="I111" s="31"/>
    </row>
    <row r="112" spans="3:9" x14ac:dyDescent="0.2">
      <c r="C112" s="13"/>
      <c r="D112" s="19">
        <f t="shared" si="1"/>
        <v>103</v>
      </c>
      <c r="E112" s="99"/>
      <c r="F112" s="101"/>
      <c r="G112" s="549"/>
      <c r="H112" s="102"/>
      <c r="I112" s="31"/>
    </row>
    <row r="113" spans="3:14" x14ac:dyDescent="0.2">
      <c r="C113" s="13"/>
      <c r="D113" s="19">
        <f t="shared" si="1"/>
        <v>104</v>
      </c>
      <c r="E113" s="99"/>
      <c r="F113" s="101"/>
      <c r="G113" s="549"/>
      <c r="H113" s="102"/>
      <c r="I113" s="31"/>
    </row>
    <row r="114" spans="3:14" x14ac:dyDescent="0.2">
      <c r="C114" s="13"/>
      <c r="D114" s="85">
        <f t="shared" si="1"/>
        <v>105</v>
      </c>
      <c r="E114" s="99"/>
      <c r="F114" s="101"/>
      <c r="G114" s="549"/>
      <c r="H114" s="102"/>
      <c r="I114" s="31"/>
      <c r="N114" s="14"/>
    </row>
    <row r="115" spans="3:14" x14ac:dyDescent="0.2">
      <c r="C115" s="13"/>
      <c r="D115" s="19">
        <f t="shared" si="1"/>
        <v>106</v>
      </c>
      <c r="E115" s="99"/>
      <c r="F115" s="101"/>
      <c r="G115" s="549"/>
      <c r="H115" s="102"/>
      <c r="I115" s="31"/>
    </row>
    <row r="116" spans="3:14" x14ac:dyDescent="0.2">
      <c r="C116" s="13"/>
      <c r="D116" s="19">
        <f t="shared" si="1"/>
        <v>107</v>
      </c>
      <c r="E116" s="99"/>
      <c r="F116" s="101"/>
      <c r="G116" s="549"/>
      <c r="H116" s="102"/>
      <c r="I116" s="31"/>
    </row>
    <row r="117" spans="3:14" x14ac:dyDescent="0.2">
      <c r="C117" s="13"/>
      <c r="D117" s="85">
        <f t="shared" si="1"/>
        <v>108</v>
      </c>
      <c r="E117" s="99"/>
      <c r="F117" s="101"/>
      <c r="G117" s="549"/>
      <c r="H117" s="102"/>
      <c r="I117" s="31"/>
    </row>
    <row r="118" spans="3:14" x14ac:dyDescent="0.2">
      <c r="C118" s="13"/>
      <c r="D118" s="19">
        <f t="shared" si="1"/>
        <v>109</v>
      </c>
      <c r="E118" s="99"/>
      <c r="F118" s="101"/>
      <c r="G118" s="549"/>
      <c r="H118" s="102"/>
      <c r="I118" s="31"/>
    </row>
    <row r="119" spans="3:14" x14ac:dyDescent="0.2">
      <c r="C119" s="13"/>
      <c r="D119" s="19">
        <f t="shared" si="1"/>
        <v>110</v>
      </c>
      <c r="E119" s="99"/>
      <c r="F119" s="101"/>
      <c r="G119" s="549"/>
      <c r="H119" s="102"/>
      <c r="I119" s="31"/>
    </row>
    <row r="120" spans="3:14" x14ac:dyDescent="0.2">
      <c r="C120" s="13"/>
      <c r="D120" s="85">
        <f t="shared" si="1"/>
        <v>111</v>
      </c>
      <c r="E120" s="99"/>
      <c r="F120" s="101"/>
      <c r="G120" s="549"/>
      <c r="H120" s="102"/>
      <c r="I120" s="31"/>
    </row>
    <row r="121" spans="3:14" x14ac:dyDescent="0.2">
      <c r="C121" s="13"/>
      <c r="D121" s="19">
        <f t="shared" si="1"/>
        <v>112</v>
      </c>
      <c r="E121" s="99"/>
      <c r="F121" s="101"/>
      <c r="G121" s="549"/>
      <c r="H121" s="102"/>
      <c r="I121" s="31"/>
    </row>
    <row r="122" spans="3:14" x14ac:dyDescent="0.2">
      <c r="C122" s="13"/>
      <c r="D122" s="19">
        <f t="shared" si="1"/>
        <v>113</v>
      </c>
      <c r="E122" s="99"/>
      <c r="F122" s="101"/>
      <c r="G122" s="549"/>
      <c r="H122" s="102"/>
      <c r="I122" s="31"/>
    </row>
    <row r="123" spans="3:14" x14ac:dyDescent="0.2">
      <c r="C123" s="13"/>
      <c r="D123" s="85">
        <f t="shared" si="1"/>
        <v>114</v>
      </c>
      <c r="E123" s="99"/>
      <c r="F123" s="101"/>
      <c r="G123" s="549"/>
      <c r="H123" s="102"/>
      <c r="I123" s="31"/>
    </row>
    <row r="124" spans="3:14" x14ac:dyDescent="0.2">
      <c r="C124" s="13"/>
      <c r="D124" s="19">
        <f t="shared" si="1"/>
        <v>115</v>
      </c>
      <c r="E124" s="99"/>
      <c r="F124" s="101"/>
      <c r="G124" s="549"/>
      <c r="H124" s="102"/>
      <c r="I124" s="31"/>
    </row>
    <row r="125" spans="3:14" x14ac:dyDescent="0.2">
      <c r="C125" s="13"/>
      <c r="D125" s="19">
        <f t="shared" si="1"/>
        <v>116</v>
      </c>
      <c r="E125" s="99"/>
      <c r="F125" s="101"/>
      <c r="G125" s="549"/>
      <c r="H125" s="102"/>
      <c r="I125" s="31"/>
    </row>
    <row r="126" spans="3:14" x14ac:dyDescent="0.2">
      <c r="C126" s="13"/>
      <c r="D126" s="85">
        <f t="shared" si="1"/>
        <v>117</v>
      </c>
      <c r="E126" s="99"/>
      <c r="F126" s="101"/>
      <c r="G126" s="549"/>
      <c r="H126" s="102"/>
      <c r="I126" s="31"/>
    </row>
    <row r="127" spans="3:14" x14ac:dyDescent="0.2">
      <c r="C127" s="13"/>
      <c r="D127" s="19">
        <f t="shared" si="1"/>
        <v>118</v>
      </c>
      <c r="E127" s="99"/>
      <c r="F127" s="101"/>
      <c r="G127" s="549"/>
      <c r="H127" s="102"/>
      <c r="I127" s="31"/>
    </row>
    <row r="128" spans="3:14" x14ac:dyDescent="0.2">
      <c r="C128" s="13"/>
      <c r="D128" s="19">
        <f t="shared" si="1"/>
        <v>119</v>
      </c>
      <c r="E128" s="99"/>
      <c r="F128" s="101"/>
      <c r="G128" s="549"/>
      <c r="H128" s="102"/>
      <c r="I128" s="31"/>
    </row>
    <row r="129" spans="1:9" x14ac:dyDescent="0.2">
      <c r="C129" s="13"/>
      <c r="D129" s="85">
        <f t="shared" si="1"/>
        <v>120</v>
      </c>
      <c r="E129" s="99"/>
      <c r="F129" s="101"/>
      <c r="G129" s="549"/>
      <c r="H129" s="102"/>
      <c r="I129" s="31"/>
    </row>
    <row r="130" spans="1:9" s="52" customFormat="1" x14ac:dyDescent="0.2">
      <c r="A130" s="6"/>
      <c r="B130" s="6"/>
      <c r="C130" s="13"/>
      <c r="D130" s="19">
        <f t="shared" si="1"/>
        <v>121</v>
      </c>
      <c r="E130" s="99"/>
      <c r="F130" s="101"/>
      <c r="G130" s="549"/>
      <c r="H130" s="102"/>
      <c r="I130" s="31"/>
    </row>
    <row r="131" spans="1:9" s="52" customFormat="1" x14ac:dyDescent="0.2">
      <c r="A131" s="6"/>
      <c r="B131" s="6"/>
      <c r="C131" s="13"/>
      <c r="D131" s="19">
        <f t="shared" si="1"/>
        <v>122</v>
      </c>
      <c r="E131" s="99"/>
      <c r="F131" s="101"/>
      <c r="G131" s="549"/>
      <c r="H131" s="102"/>
      <c r="I131" s="31"/>
    </row>
    <row r="132" spans="1:9" s="52" customFormat="1" x14ac:dyDescent="0.2">
      <c r="A132" s="6"/>
      <c r="B132" s="6"/>
      <c r="C132" s="13"/>
      <c r="D132" s="85">
        <f t="shared" si="1"/>
        <v>123</v>
      </c>
      <c r="E132" s="99"/>
      <c r="F132" s="101"/>
      <c r="G132" s="549"/>
      <c r="H132" s="102"/>
      <c r="I132" s="31"/>
    </row>
    <row r="133" spans="1:9" x14ac:dyDescent="0.2">
      <c r="C133" s="13"/>
      <c r="D133" s="19">
        <f t="shared" si="1"/>
        <v>124</v>
      </c>
      <c r="E133" s="99"/>
      <c r="F133" s="101"/>
      <c r="G133" s="549"/>
      <c r="H133" s="102"/>
      <c r="I133" s="31"/>
    </row>
    <row r="134" spans="1:9" x14ac:dyDescent="0.2">
      <c r="C134" s="13"/>
      <c r="D134" s="19">
        <f t="shared" si="1"/>
        <v>125</v>
      </c>
      <c r="E134" s="99"/>
      <c r="F134" s="101"/>
      <c r="G134" s="549"/>
      <c r="H134" s="102"/>
      <c r="I134" s="31"/>
    </row>
    <row r="135" spans="1:9" x14ac:dyDescent="0.2">
      <c r="C135" s="13"/>
      <c r="D135" s="85">
        <f t="shared" si="1"/>
        <v>126</v>
      </c>
      <c r="E135" s="99"/>
      <c r="F135" s="101"/>
      <c r="G135" s="549"/>
      <c r="H135" s="102"/>
      <c r="I135" s="31"/>
    </row>
    <row r="136" spans="1:9" x14ac:dyDescent="0.2">
      <c r="C136" s="13"/>
      <c r="D136" s="19">
        <f t="shared" si="1"/>
        <v>127</v>
      </c>
      <c r="E136" s="99"/>
      <c r="F136" s="101"/>
      <c r="G136" s="549"/>
      <c r="H136" s="102"/>
      <c r="I136" s="31"/>
    </row>
    <row r="137" spans="1:9" x14ac:dyDescent="0.2">
      <c r="C137" s="13"/>
      <c r="D137" s="19">
        <f t="shared" si="1"/>
        <v>128</v>
      </c>
      <c r="E137" s="99"/>
      <c r="F137" s="101"/>
      <c r="G137" s="549"/>
      <c r="H137" s="102"/>
      <c r="I137" s="31"/>
    </row>
    <row r="138" spans="1:9" x14ac:dyDescent="0.2">
      <c r="C138" s="13"/>
      <c r="D138" s="85">
        <f t="shared" si="1"/>
        <v>129</v>
      </c>
      <c r="E138" s="99"/>
      <c r="F138" s="101"/>
      <c r="G138" s="549"/>
      <c r="H138" s="102"/>
      <c r="I138" s="31"/>
    </row>
    <row r="139" spans="1:9" x14ac:dyDescent="0.2">
      <c r="C139" s="13"/>
      <c r="D139" s="19">
        <f t="shared" si="1"/>
        <v>130</v>
      </c>
      <c r="E139" s="99"/>
      <c r="F139" s="101"/>
      <c r="G139" s="549"/>
      <c r="H139" s="102"/>
      <c r="I139" s="31"/>
    </row>
    <row r="140" spans="1:9" x14ac:dyDescent="0.2">
      <c r="C140" s="13"/>
      <c r="D140" s="19">
        <f t="shared" si="1"/>
        <v>131</v>
      </c>
      <c r="E140" s="99"/>
      <c r="F140" s="101"/>
      <c r="G140" s="549"/>
      <c r="H140" s="102"/>
      <c r="I140" s="31"/>
    </row>
    <row r="141" spans="1:9" x14ac:dyDescent="0.2">
      <c r="C141" s="13"/>
      <c r="D141" s="85">
        <f t="shared" si="1"/>
        <v>132</v>
      </c>
      <c r="E141" s="99"/>
      <c r="F141" s="101"/>
      <c r="G141" s="549"/>
      <c r="H141" s="102"/>
      <c r="I141" s="31"/>
    </row>
    <row r="142" spans="1:9" x14ac:dyDescent="0.2">
      <c r="C142" s="13"/>
      <c r="D142" s="19">
        <f t="shared" si="1"/>
        <v>133</v>
      </c>
      <c r="E142" s="99"/>
      <c r="F142" s="101"/>
      <c r="G142" s="549"/>
      <c r="H142" s="102"/>
      <c r="I142" s="31"/>
    </row>
    <row r="143" spans="1:9" x14ac:dyDescent="0.2">
      <c r="C143" s="13"/>
      <c r="D143" s="19">
        <f t="shared" ref="D143:D149" si="2">D142+1</f>
        <v>134</v>
      </c>
      <c r="E143" s="99"/>
      <c r="F143" s="101"/>
      <c r="G143" s="549"/>
      <c r="H143" s="102"/>
      <c r="I143" s="31"/>
    </row>
    <row r="144" spans="1:9" x14ac:dyDescent="0.2">
      <c r="C144" s="13"/>
      <c r="D144" s="85">
        <f t="shared" si="2"/>
        <v>135</v>
      </c>
      <c r="E144" s="99"/>
      <c r="F144" s="101"/>
      <c r="G144" s="549"/>
      <c r="H144" s="102"/>
      <c r="I144" s="31"/>
    </row>
    <row r="145" spans="3:9" x14ac:dyDescent="0.2">
      <c r="C145" s="13"/>
      <c r="D145" s="19">
        <f t="shared" si="2"/>
        <v>136</v>
      </c>
      <c r="E145" s="99"/>
      <c r="F145" s="101"/>
      <c r="G145" s="549"/>
      <c r="H145" s="102"/>
      <c r="I145" s="31"/>
    </row>
    <row r="146" spans="3:9" x14ac:dyDescent="0.2">
      <c r="C146" s="13"/>
      <c r="D146" s="19">
        <f t="shared" si="2"/>
        <v>137</v>
      </c>
      <c r="E146" s="99"/>
      <c r="F146" s="101"/>
      <c r="G146" s="549"/>
      <c r="H146" s="102"/>
      <c r="I146" s="31"/>
    </row>
    <row r="147" spans="3:9" x14ac:dyDescent="0.2">
      <c r="C147" s="13"/>
      <c r="D147" s="85">
        <f t="shared" si="2"/>
        <v>138</v>
      </c>
      <c r="E147" s="99"/>
      <c r="F147" s="101"/>
      <c r="G147" s="549"/>
      <c r="H147" s="102"/>
      <c r="I147" s="31"/>
    </row>
    <row r="148" spans="3:9" x14ac:dyDescent="0.2">
      <c r="C148" s="13"/>
      <c r="D148" s="19">
        <f t="shared" si="2"/>
        <v>139</v>
      </c>
      <c r="E148" s="99"/>
      <c r="F148" s="101"/>
      <c r="G148" s="549"/>
      <c r="H148" s="102"/>
      <c r="I148" s="31"/>
    </row>
    <row r="149" spans="3:9" x14ac:dyDescent="0.2">
      <c r="C149" s="13"/>
      <c r="D149" s="19">
        <f t="shared" si="2"/>
        <v>140</v>
      </c>
      <c r="E149" s="99"/>
      <c r="F149" s="101"/>
      <c r="G149" s="549"/>
      <c r="H149" s="102"/>
      <c r="I149" s="31"/>
    </row>
    <row r="150" spans="3:9" x14ac:dyDescent="0.2">
      <c r="C150" s="13"/>
      <c r="D150" s="14"/>
      <c r="E150" s="81"/>
      <c r="F150" s="54"/>
      <c r="G150" s="149"/>
      <c r="H150" s="655">
        <f>SUM(H10:H149)</f>
        <v>43.486097660226825</v>
      </c>
      <c r="I150" s="31"/>
    </row>
    <row r="151" spans="3:9" ht="13.5" thickBot="1" x14ac:dyDescent="0.25">
      <c r="C151" s="117"/>
      <c r="D151" s="234"/>
      <c r="E151" s="261"/>
      <c r="F151" s="262"/>
      <c r="G151" s="173"/>
      <c r="H151" s="262"/>
      <c r="I151" s="121"/>
    </row>
    <row r="220" spans="6:6" x14ac:dyDescent="0.2">
      <c r="F220" s="7" t="s">
        <v>86</v>
      </c>
    </row>
    <row r="221" spans="6:6" x14ac:dyDescent="0.2">
      <c r="F221" s="7" t="s">
        <v>114</v>
      </c>
    </row>
    <row r="222" spans="6:6" x14ac:dyDescent="0.2">
      <c r="F222" s="7" t="s">
        <v>115</v>
      </c>
    </row>
    <row r="223" spans="6:6" x14ac:dyDescent="0.2">
      <c r="F223" s="7" t="s">
        <v>99</v>
      </c>
    </row>
  </sheetData>
  <mergeCells count="2">
    <mergeCell ref="B4:E4"/>
    <mergeCell ref="E6:H6"/>
  </mergeCells>
  <dataValidations count="2">
    <dataValidation type="list" allowBlank="1" showInputMessage="1" showErrorMessage="1" sqref="F64:F149">
      <formula1>$F$220:$F$223</formula1>
    </dataValidation>
    <dataValidation type="list" allowBlank="1" showInputMessage="1" showErrorMessage="1" sqref="F10:F63">
      <formula1>$F$242:$F$245</formula1>
    </dataValidation>
  </dataValidations>
  <pageMargins left="0.25" right="0.25" top="0.75" bottom="0.75" header="0.3" footer="0.3"/>
  <pageSetup paperSize="8"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80" zoomScaleNormal="80" zoomScalePageLayoutView="80" workbookViewId="0">
      <pane xSplit="5" ySplit="9" topLeftCell="J110" activePane="bottomRight" state="frozen"/>
      <selection activeCell="A10" sqref="A10"/>
      <selection pane="topRight" activeCell="A10" sqref="A10"/>
      <selection pane="bottomLeft" activeCell="A10" sqref="A10"/>
      <selection pane="bottomRight" activeCell="AA110" sqref="AA1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Queenscliffe (B)</v>
      </c>
      <c r="C3" s="40"/>
      <c r="D3" s="40"/>
      <c r="E3" s="40"/>
      <c r="H3" s="41"/>
      <c r="I3" s="41"/>
      <c r="J3" s="41"/>
      <c r="K3" s="41"/>
      <c r="L3" s="41"/>
      <c r="P3" s="40"/>
      <c r="Q3" s="40"/>
      <c r="R3" s="40"/>
      <c r="S3" s="40"/>
      <c r="T3" s="40"/>
      <c r="U3" s="40"/>
      <c r="V3" s="44"/>
      <c r="Y3" s="22"/>
      <c r="Z3" s="22"/>
      <c r="AA3" s="22"/>
      <c r="AB3" s="22"/>
      <c r="AC3" s="22"/>
    </row>
    <row r="4" spans="1:30" ht="13.5" thickBot="1" x14ac:dyDescent="0.25">
      <c r="A4" s="6"/>
      <c r="B4" s="764"/>
      <c r="C4" s="764"/>
      <c r="D4" s="764"/>
      <c r="E4" s="764"/>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320"/>
      <c r="P5" s="10"/>
      <c r="Q5" s="320"/>
      <c r="R5" s="320"/>
      <c r="S5" s="320"/>
      <c r="T5" s="10"/>
      <c r="U5" s="10"/>
      <c r="V5" s="10"/>
      <c r="W5" s="12"/>
      <c r="Y5" s="22"/>
      <c r="Z5" s="22"/>
      <c r="AA5" s="22"/>
      <c r="AB5" s="22"/>
      <c r="AC5" s="22"/>
    </row>
    <row r="6" spans="1:30" x14ac:dyDescent="0.2">
      <c r="A6" s="6"/>
      <c r="B6" s="6"/>
      <c r="C6" s="13"/>
      <c r="D6" s="18"/>
      <c r="E6" s="46"/>
      <c r="H6" s="768" t="str">
        <f>VLOOKUP(' Instructions'!C9,' Instructions'!Q9:U15,2,FALSE)</f>
        <v>2017-18</v>
      </c>
      <c r="I6" s="769"/>
      <c r="J6" s="769"/>
      <c r="K6" s="769"/>
      <c r="L6" s="769"/>
      <c r="M6" s="769"/>
      <c r="N6" s="769"/>
      <c r="O6" s="770"/>
      <c r="P6" s="769"/>
      <c r="Q6" s="770"/>
      <c r="R6" s="770"/>
      <c r="S6" s="770"/>
      <c r="T6" s="769"/>
      <c r="U6" s="769"/>
      <c r="V6" s="771"/>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7"/>
      <c r="F8" s="772" t="s">
        <v>113</v>
      </c>
      <c r="G8" s="15"/>
      <c r="H8" s="773" t="s">
        <v>73</v>
      </c>
      <c r="I8" s="775" t="s">
        <v>74</v>
      </c>
      <c r="J8" s="775" t="s">
        <v>75</v>
      </c>
      <c r="K8" s="775"/>
      <c r="L8" s="775"/>
      <c r="M8" s="775"/>
      <c r="N8" s="775" t="s">
        <v>76</v>
      </c>
      <c r="O8" s="776"/>
      <c r="P8" s="775"/>
      <c r="Q8" s="773" t="s">
        <v>77</v>
      </c>
      <c r="R8" s="773" t="s">
        <v>336</v>
      </c>
      <c r="S8" s="773" t="s">
        <v>335</v>
      </c>
      <c r="T8" s="773" t="s">
        <v>337</v>
      </c>
      <c r="U8" s="773" t="s">
        <v>159</v>
      </c>
      <c r="V8" s="777" t="s">
        <v>78</v>
      </c>
      <c r="W8" s="20"/>
      <c r="X8" s="21"/>
      <c r="Y8" s="21"/>
      <c r="Z8" s="21"/>
    </row>
    <row r="9" spans="1:30" ht="30" customHeight="1" x14ac:dyDescent="0.2">
      <c r="A9" s="6"/>
      <c r="B9" s="6"/>
      <c r="C9" s="13"/>
      <c r="D9" s="19"/>
      <c r="E9" s="98" t="s">
        <v>92</v>
      </c>
      <c r="F9" s="772"/>
      <c r="G9" s="15"/>
      <c r="H9" s="774"/>
      <c r="I9" s="775"/>
      <c r="J9" s="235" t="s">
        <v>330</v>
      </c>
      <c r="K9" s="235" t="s">
        <v>341</v>
      </c>
      <c r="L9" s="235" t="s">
        <v>342</v>
      </c>
      <c r="M9" s="235" t="s">
        <v>331</v>
      </c>
      <c r="N9" s="235" t="s">
        <v>333</v>
      </c>
      <c r="O9" s="396" t="s">
        <v>332</v>
      </c>
      <c r="P9" s="235" t="s">
        <v>334</v>
      </c>
      <c r="Q9" s="774"/>
      <c r="R9" s="774"/>
      <c r="S9" s="774"/>
      <c r="T9" s="774"/>
      <c r="U9" s="774"/>
      <c r="V9" s="777"/>
      <c r="W9" s="17"/>
      <c r="X9" s="22"/>
      <c r="Y9" s="22"/>
      <c r="Z9" s="22"/>
    </row>
    <row r="10" spans="1:30" ht="17.25" customHeight="1" x14ac:dyDescent="0.2">
      <c r="A10" s="6"/>
      <c r="B10" s="6"/>
      <c r="C10" s="13"/>
      <c r="D10" s="19"/>
      <c r="E10" s="248"/>
      <c r="F10" s="150"/>
      <c r="G10" s="15"/>
      <c r="H10" s="150" t="s">
        <v>165</v>
      </c>
      <c r="I10" s="150" t="s">
        <v>165</v>
      </c>
      <c r="J10" s="150" t="s">
        <v>165</v>
      </c>
      <c r="K10" s="150" t="s">
        <v>165</v>
      </c>
      <c r="L10" s="150" t="s">
        <v>165</v>
      </c>
      <c r="M10" s="150" t="s">
        <v>165</v>
      </c>
      <c r="N10" s="150" t="s">
        <v>165</v>
      </c>
      <c r="O10" s="150" t="s">
        <v>165</v>
      </c>
      <c r="P10" s="150" t="s">
        <v>165</v>
      </c>
      <c r="Q10" s="150" t="s">
        <v>165</v>
      </c>
      <c r="R10" s="150" t="s">
        <v>165</v>
      </c>
      <c r="S10" s="150" t="s">
        <v>165</v>
      </c>
      <c r="T10" s="150" t="s">
        <v>165</v>
      </c>
      <c r="U10" s="150" t="s">
        <v>165</v>
      </c>
      <c r="V10" s="150" t="s">
        <v>165</v>
      </c>
      <c r="W10" s="16"/>
      <c r="X10" s="16"/>
      <c r="Y10" s="249"/>
      <c r="Z10" s="249"/>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7" t="str">
        <f>IF(OR('Services - WHC'!E10="",'Services - WHC'!E10="[Enter service]"),"",'Services - WHC'!E10)</f>
        <v>Aged Services</v>
      </c>
      <c r="F12" s="68" t="str">
        <f>IF(OR('Services - WHC'!F10="",'Services - WHC'!F10="[Select]"),"",'Services - WHC'!F10)</f>
        <v>External</v>
      </c>
      <c r="G12" s="15"/>
      <c r="H12" s="236"/>
      <c r="I12" s="236">
        <f>-GETPIVOTDATA("Sum of 2017/18",'[4]ESC User Fees'!$A$3,"Stat of Inc &amp; Exp (Available Cash)","User fees and charges","Strategic Objectives (KSAs)","SO1 - 01 - Aged and Disability Services - Inc")</f>
        <v>85500</v>
      </c>
      <c r="J12" s="236">
        <f>-GETPIVOTDATA("Sum of 2017/18",'[4]ESC Grants Op'!$A$3,"Stat of Inc &amp; Exp (Available Cash)","Grants - operating","Strategic Objectives (KSAs)","SO1 - 01 - Aged and Disability Services - Inc")</f>
        <v>417400</v>
      </c>
      <c r="K12" s="236"/>
      <c r="L12" s="236"/>
      <c r="M12" s="236"/>
      <c r="N12" s="236"/>
      <c r="O12" s="236"/>
      <c r="P12" s="236"/>
      <c r="Q12" s="236"/>
      <c r="R12" s="236"/>
      <c r="S12" s="236"/>
      <c r="T12" s="237"/>
      <c r="U12" s="238"/>
      <c r="V12" s="424">
        <f t="shared" ref="V12:V43" si="0">SUM(H12:U12)</f>
        <v>502900</v>
      </c>
      <c r="W12" s="17"/>
    </row>
    <row r="13" spans="1:30" ht="12" customHeight="1" x14ac:dyDescent="0.2">
      <c r="A13" s="6"/>
      <c r="B13" s="6"/>
      <c r="C13" s="13"/>
      <c r="D13" s="19">
        <f>D12+1</f>
        <v>2</v>
      </c>
      <c r="E13" s="71" t="str">
        <f>IF(OR('Services - WHC'!E11="",'Services - WHC'!E11="[Enter service]"),"",'Services - WHC'!E11)</f>
        <v>Active Communities</v>
      </c>
      <c r="F13" s="72" t="str">
        <f>IF(OR('Services - WHC'!F11="",'Services - WHC'!F11="[Select]"),"",'Services - WHC'!F11)</f>
        <v>External</v>
      </c>
      <c r="G13" s="15"/>
      <c r="H13" s="239"/>
      <c r="I13" s="239"/>
      <c r="J13" s="239">
        <f>-GETPIVOTDATA("Sum of 2017/18",'[4]ESC Grants Op'!$A$3,"Stat of Inc &amp; Exp (Available Cash)","Grants - operating","Strategic Objectives (KSAs)","SO1 - 02 - Active Communities - Inc")</f>
        <v>2600</v>
      </c>
      <c r="K13" s="239"/>
      <c r="L13" s="239"/>
      <c r="M13" s="239"/>
      <c r="N13" s="239"/>
      <c r="O13" s="239"/>
      <c r="P13" s="239"/>
      <c r="Q13" s="239"/>
      <c r="R13" s="239"/>
      <c r="S13" s="239"/>
      <c r="T13" s="240"/>
      <c r="U13" s="241"/>
      <c r="V13" s="425">
        <f t="shared" si="0"/>
        <v>2600</v>
      </c>
      <c r="W13" s="17"/>
    </row>
    <row r="14" spans="1:30" ht="12" customHeight="1" x14ac:dyDescent="0.2">
      <c r="A14" s="6"/>
      <c r="B14" s="6"/>
      <c r="C14" s="13"/>
      <c r="D14" s="19">
        <f t="shared" ref="D14:D77" si="1">D13+1</f>
        <v>3</v>
      </c>
      <c r="E14" s="71" t="str">
        <f>IF(OR('Services - WHC'!E12="",'Services - WHC'!E12="[Enter service]"),"",'Services - WHC'!E12)</f>
        <v>Community Events</v>
      </c>
      <c r="F14" s="72" t="str">
        <f>IF(OR('Services - WHC'!F12="",'Services - WHC'!F12="[Select]"),"",'Services - WHC'!F12)</f>
        <v>External</v>
      </c>
      <c r="G14" s="15"/>
      <c r="H14" s="239"/>
      <c r="I14" s="239"/>
      <c r="J14" s="239"/>
      <c r="K14" s="239"/>
      <c r="L14" s="239"/>
      <c r="M14" s="239"/>
      <c r="N14" s="239"/>
      <c r="O14" s="239"/>
      <c r="P14" s="239"/>
      <c r="Q14" s="239"/>
      <c r="R14" s="239"/>
      <c r="S14" s="239"/>
      <c r="T14" s="240"/>
      <c r="U14" s="241"/>
      <c r="V14" s="425">
        <f t="shared" si="0"/>
        <v>0</v>
      </c>
      <c r="W14" s="17"/>
    </row>
    <row r="15" spans="1:30" ht="12" customHeight="1" x14ac:dyDescent="0.2">
      <c r="A15" s="6"/>
      <c r="B15" s="6"/>
      <c r="C15" s="13"/>
      <c r="D15" s="19">
        <f t="shared" si="1"/>
        <v>4</v>
      </c>
      <c r="E15" s="71" t="str">
        <f>IF(OR('Services - WHC'!E13="",'Services - WHC'!E13="[Enter service]"),"",'Services - WHC'!E13)</f>
        <v>Maternal and Child Health (MCH)</v>
      </c>
      <c r="F15" s="72" t="str">
        <f>IF(OR('Services - WHC'!F13="",'Services - WHC'!F13="[Select]"),"",'Services - WHC'!F13)</f>
        <v>External</v>
      </c>
      <c r="G15" s="15"/>
      <c r="H15" s="239"/>
      <c r="I15" s="239"/>
      <c r="J15" s="239">
        <f>-GETPIVOTDATA("Sum of 2017/18",'[4]ESC Grants Op'!$A$3,"Stat of Inc &amp; Exp (Available Cash)","Grants - operating","Strategic Objectives (KSAs)","SO1 - 04 - Maternal and Child Health (MCH) Inc")</f>
        <v>41200</v>
      </c>
      <c r="K15" s="239"/>
      <c r="L15" s="239"/>
      <c r="M15" s="239"/>
      <c r="N15" s="239"/>
      <c r="O15" s="239"/>
      <c r="P15" s="239"/>
      <c r="Q15" s="239"/>
      <c r="R15" s="239"/>
      <c r="S15" s="239"/>
      <c r="T15" s="240"/>
      <c r="U15" s="241"/>
      <c r="V15" s="425">
        <f t="shared" si="0"/>
        <v>41200</v>
      </c>
      <c r="W15" s="17"/>
    </row>
    <row r="16" spans="1:30" ht="12" customHeight="1" x14ac:dyDescent="0.2">
      <c r="A16" s="6"/>
      <c r="B16" s="6"/>
      <c r="C16" s="13"/>
      <c r="D16" s="19">
        <f t="shared" si="1"/>
        <v>5</v>
      </c>
      <c r="E16" s="71" t="str">
        <f>IF(OR('Services - WHC'!E14="",'Services - WHC'!E14="[Enter service]"),"",'Services - WHC'!E14)</f>
        <v>Kindergarten</v>
      </c>
      <c r="F16" s="72" t="str">
        <f>IF(OR('Services - WHC'!F14="",'Services - WHC'!F14="[Select]"),"",'Services - WHC'!F14)</f>
        <v>External</v>
      </c>
      <c r="G16" s="15"/>
      <c r="H16" s="239"/>
      <c r="I16" s="239"/>
      <c r="J16" s="239"/>
      <c r="K16" s="239"/>
      <c r="L16" s="239"/>
      <c r="M16" s="239"/>
      <c r="N16" s="239"/>
      <c r="O16" s="239"/>
      <c r="P16" s="239"/>
      <c r="Q16" s="239"/>
      <c r="R16" s="239"/>
      <c r="S16" s="239"/>
      <c r="T16" s="240"/>
      <c r="U16" s="241"/>
      <c r="V16" s="425">
        <f t="shared" si="0"/>
        <v>0</v>
      </c>
      <c r="W16" s="17"/>
    </row>
    <row r="17" spans="1:23" ht="12" customHeight="1" x14ac:dyDescent="0.2">
      <c r="A17" s="6"/>
      <c r="B17" s="6"/>
      <c r="C17" s="13"/>
      <c r="D17" s="19">
        <f t="shared" si="1"/>
        <v>6</v>
      </c>
      <c r="E17" s="71" t="str">
        <f>IF(OR('Services - WHC'!E15="",'Services - WHC'!E15="[Enter service]"),"",'Services - WHC'!E15)</f>
        <v>Environmental Health</v>
      </c>
      <c r="F17" s="72" t="str">
        <f>IF(OR('Services - WHC'!F15="",'Services - WHC'!F15="[Select]"),"",'Services - WHC'!F15)</f>
        <v>External</v>
      </c>
      <c r="G17" s="15"/>
      <c r="H17" s="239"/>
      <c r="I17" s="239">
        <f>-GETPIVOTDATA("Sum of 2017/18",'[4]ESC User Fees'!$A$3,"Stat of Inc &amp; Exp (Available Cash)","User fees and charges","Strategic Objectives (KSAs)","SO1 - 06 - Environmental Health Inc")</f>
        <v>36000</v>
      </c>
      <c r="J17" s="239"/>
      <c r="K17" s="239"/>
      <c r="L17" s="239"/>
      <c r="M17" s="239"/>
      <c r="N17" s="239"/>
      <c r="O17" s="239"/>
      <c r="P17" s="239"/>
      <c r="Q17" s="239"/>
      <c r="R17" s="239"/>
      <c r="S17" s="239"/>
      <c r="T17" s="240"/>
      <c r="U17" s="241"/>
      <c r="V17" s="425">
        <f t="shared" si="0"/>
        <v>36000</v>
      </c>
      <c r="W17" s="17"/>
    </row>
    <row r="18" spans="1:23" ht="12" customHeight="1" x14ac:dyDescent="0.2">
      <c r="A18" s="6"/>
      <c r="B18" s="6"/>
      <c r="C18" s="13"/>
      <c r="D18" s="19">
        <f t="shared" si="1"/>
        <v>7</v>
      </c>
      <c r="E18" s="71" t="str">
        <f>IF(OR('Services - WHC'!E16="",'Services - WHC'!E16="[Enter service]"),"",'Services - WHC'!E16)</f>
        <v>Asset Management and Appearance of Public Places</v>
      </c>
      <c r="F18" s="72" t="str">
        <f>IF(OR('Services - WHC'!F16="",'Services - WHC'!F16="[Select]"),"",'Services - WHC'!F16)</f>
        <v>External</v>
      </c>
      <c r="G18" s="15"/>
      <c r="H18" s="239"/>
      <c r="I18" s="239">
        <f>-GETPIVOTDATA("Sum of 2017/18",'[4]ESC User Fees'!$A$3,"Stat of Inc &amp; Exp (Available Cash)","User fees and charges","Strategic Objectives (KSAs)","SO1 - 07 - Asset Management and Appearance of Public Places - Inc")</f>
        <v>5000</v>
      </c>
      <c r="J18" s="239">
        <f>-GETPIVOTDATA("Sum of 2017/18",'[4]ESC Grants Op'!$A$3,"Stat of Inc &amp; Exp (Available Cash)","Grants - operating","Strategic Objectives (KSAs)","SO1 - 07 - Asset Management and Appearance of Public Places - Inc")</f>
        <v>54200</v>
      </c>
      <c r="K18" s="239"/>
      <c r="L18" s="239"/>
      <c r="M18" s="239"/>
      <c r="N18" s="239"/>
      <c r="O18" s="239"/>
      <c r="P18" s="239"/>
      <c r="Q18" s="239"/>
      <c r="R18" s="239"/>
      <c r="S18" s="239"/>
      <c r="T18" s="240"/>
      <c r="U18" s="241"/>
      <c r="V18" s="425">
        <f t="shared" si="0"/>
        <v>59200</v>
      </c>
      <c r="W18" s="17"/>
    </row>
    <row r="19" spans="1:23" ht="12" customHeight="1" x14ac:dyDescent="0.2">
      <c r="A19" s="6"/>
      <c r="B19" s="6"/>
      <c r="C19" s="13"/>
      <c r="D19" s="19">
        <f t="shared" si="1"/>
        <v>8</v>
      </c>
      <c r="E19" s="71" t="str">
        <f>IF(OR('Services - WHC'!E17="",'Services - WHC'!E17="[Enter service]"),"",'Services - WHC'!E17)</f>
        <v>Local Laws, Safety and Amenity</v>
      </c>
      <c r="F19" s="72" t="str">
        <f>IF(OR('Services - WHC'!F17="",'Services - WHC'!F17="[Select]"),"",'Services - WHC'!F17)</f>
        <v>External</v>
      </c>
      <c r="G19" s="15"/>
      <c r="H19" s="239">
        <f>-GETPIVOTDATA("Sum of 2017/18",'[4]ESC Stat Fees'!$A$3,"Stat of Inc &amp; Exp (Available Cash)","Statutory fees and fines","Strategic Objectives (KSAs)","SO1 - 08 - Local Laws, Safety and Amenity - Inc")</f>
        <v>29000</v>
      </c>
      <c r="I19" s="239">
        <f>-GETPIVOTDATA("Sum of 2017/18",'[4]ESC User Fees'!$A$3,"Stat of Inc &amp; Exp (Available Cash)","User fees and charges","Strategic Objectives (KSAs)","SO1 - 08 - Local Laws, Safety and Amenity - Inc")</f>
        <v>21000</v>
      </c>
      <c r="J19" s="239">
        <f>-GETPIVOTDATA("Sum of 2017/18",'[4]ESC Grants Op'!$A$3,"Stat of Inc &amp; Exp (Available Cash)","Grants - operating","Strategic Objectives (KSAs)","SO1 - 08 - Local Laws, Safety and Amenity - Inc")</f>
        <v>16800</v>
      </c>
      <c r="K19" s="239"/>
      <c r="L19" s="239"/>
      <c r="M19" s="239"/>
      <c r="N19" s="239"/>
      <c r="O19" s="239"/>
      <c r="P19" s="239"/>
      <c r="Q19" s="239"/>
      <c r="R19" s="239"/>
      <c r="S19" s="239"/>
      <c r="T19" s="240"/>
      <c r="U19" s="241"/>
      <c r="V19" s="425">
        <f t="shared" si="0"/>
        <v>66800</v>
      </c>
      <c r="W19" s="17"/>
    </row>
    <row r="20" spans="1:23" ht="12" customHeight="1" x14ac:dyDescent="0.2">
      <c r="A20" s="6"/>
      <c r="B20" s="6"/>
      <c r="C20" s="13"/>
      <c r="D20" s="19">
        <f t="shared" si="1"/>
        <v>9</v>
      </c>
      <c r="E20" s="71" t="str">
        <f>IF(OR('Services - WHC'!E18="",'Services - WHC'!E18="[Enter service]"),"",'Services - WHC'!E18)</f>
        <v>Street Lighting</v>
      </c>
      <c r="F20" s="72" t="str">
        <f>IF(OR('Services - WHC'!F18="",'Services - WHC'!F18="[Select]"),"",'Services - WHC'!F18)</f>
        <v>External</v>
      </c>
      <c r="G20" s="15"/>
      <c r="H20" s="239"/>
      <c r="I20" s="239"/>
      <c r="J20" s="239"/>
      <c r="K20" s="239"/>
      <c r="L20" s="239"/>
      <c r="M20" s="239"/>
      <c r="N20" s="239"/>
      <c r="O20" s="239"/>
      <c r="P20" s="239"/>
      <c r="Q20" s="239"/>
      <c r="R20" s="239"/>
      <c r="S20" s="239"/>
      <c r="T20" s="240"/>
      <c r="U20" s="241"/>
      <c r="V20" s="425">
        <f t="shared" si="0"/>
        <v>0</v>
      </c>
      <c r="W20" s="17"/>
    </row>
    <row r="21" spans="1:23" ht="12" customHeight="1" x14ac:dyDescent="0.2">
      <c r="A21" s="6"/>
      <c r="B21" s="6"/>
      <c r="C21" s="13"/>
      <c r="D21" s="19">
        <f t="shared" si="1"/>
        <v>10</v>
      </c>
      <c r="E21" s="71" t="str">
        <f>IF(OR('Services - WHC'!E19="",'Services - WHC'!E19="[Enter service]"),"",'Services - WHC'!E19)</f>
        <v>Powerline Safety</v>
      </c>
      <c r="F21" s="72" t="str">
        <f>IF(OR('Services - WHC'!F19="",'Services - WHC'!F19="[Select]"),"",'Services - WHC'!F19)</f>
        <v>External</v>
      </c>
      <c r="G21" s="15"/>
      <c r="H21" s="239"/>
      <c r="I21" s="239"/>
      <c r="J21" s="239"/>
      <c r="K21" s="239"/>
      <c r="L21" s="239"/>
      <c r="M21" s="239"/>
      <c r="N21" s="239"/>
      <c r="O21" s="239"/>
      <c r="P21" s="239"/>
      <c r="Q21" s="239"/>
      <c r="R21" s="239"/>
      <c r="S21" s="239"/>
      <c r="T21" s="240"/>
      <c r="U21" s="241"/>
      <c r="V21" s="425">
        <f t="shared" si="0"/>
        <v>0</v>
      </c>
      <c r="W21" s="17"/>
    </row>
    <row r="22" spans="1:23" ht="12" customHeight="1" x14ac:dyDescent="0.2">
      <c r="A22" s="6"/>
      <c r="B22" s="6"/>
      <c r="C22" s="13"/>
      <c r="D22" s="19">
        <f t="shared" si="1"/>
        <v>11</v>
      </c>
      <c r="E22" s="71" t="str">
        <f>IF(OR('Services - WHC'!E20="",'Services - WHC'!E20="[Enter service]"),"",'Services - WHC'!E20)</f>
        <v>Library</v>
      </c>
      <c r="F22" s="72" t="str">
        <f>IF(OR('Services - WHC'!F20="",'Services - WHC'!F20="[Select]"),"",'Services - WHC'!F20)</f>
        <v>External</v>
      </c>
      <c r="G22" s="15"/>
      <c r="H22" s="239"/>
      <c r="I22" s="239"/>
      <c r="J22" s="239"/>
      <c r="K22" s="239"/>
      <c r="L22" s="239"/>
      <c r="M22" s="239"/>
      <c r="N22" s="239"/>
      <c r="O22" s="239"/>
      <c r="P22" s="239"/>
      <c r="Q22" s="239"/>
      <c r="R22" s="239"/>
      <c r="S22" s="239"/>
      <c r="T22" s="240"/>
      <c r="U22" s="241"/>
      <c r="V22" s="425">
        <f t="shared" si="0"/>
        <v>0</v>
      </c>
      <c r="W22" s="17"/>
    </row>
    <row r="23" spans="1:23" ht="12" customHeight="1" x14ac:dyDescent="0.2">
      <c r="A23" s="6"/>
      <c r="B23" s="6"/>
      <c r="C23" s="13"/>
      <c r="D23" s="19">
        <f t="shared" si="1"/>
        <v>12</v>
      </c>
      <c r="E23" s="71" t="str">
        <f>IF(OR('Services - WHC'!E21="",'Services - WHC'!E21="[Enter service]"),"",'Services - WHC'!E21)</f>
        <v>Recreation, Arts and Culture</v>
      </c>
      <c r="F23" s="72" t="str">
        <f>IF(OR('Services - WHC'!F21="",'Services - WHC'!F21="[Select]"),"",'Services - WHC'!F21)</f>
        <v>External</v>
      </c>
      <c r="G23" s="15"/>
      <c r="H23" s="239"/>
      <c r="I23" s="239"/>
      <c r="J23" s="239"/>
      <c r="K23" s="239"/>
      <c r="L23" s="239"/>
      <c r="M23" s="239"/>
      <c r="N23" s="239"/>
      <c r="O23" s="239"/>
      <c r="P23" s="239"/>
      <c r="Q23" s="239"/>
      <c r="R23" s="239"/>
      <c r="S23" s="239"/>
      <c r="T23" s="240"/>
      <c r="U23" s="241"/>
      <c r="V23" s="425">
        <f t="shared" si="0"/>
        <v>0</v>
      </c>
      <c r="W23" s="17"/>
    </row>
    <row r="24" spans="1:23" ht="12" customHeight="1" x14ac:dyDescent="0.2">
      <c r="A24" s="6"/>
      <c r="B24" s="6"/>
      <c r="C24" s="13"/>
      <c r="D24" s="19">
        <f t="shared" si="1"/>
        <v>13</v>
      </c>
      <c r="E24" s="71" t="str">
        <f>IF(OR('Services - WHC'!E22="",'Services - WHC'!E22="[Enter service]"),"",'Services - WHC'!E22)</f>
        <v>Environmental Sustainability</v>
      </c>
      <c r="F24" s="72" t="str">
        <f>IF(OR('Services - WHC'!F22="",'Services - WHC'!F22="[Select]"),"",'Services - WHC'!F22)</f>
        <v>Mixed</v>
      </c>
      <c r="G24" s="15"/>
      <c r="H24" s="239"/>
      <c r="I24" s="239"/>
      <c r="J24" s="239">
        <f>-GETPIVOTDATA("Sum of 2017/18",'[4]ESC Grants Op'!$A$3,"Stat of Inc &amp; Exp (Available Cash)","Grants - operating","Strategic Objectives (KSAs)","SO2 - 01 - Environmental Sustainability - Inc")-K24</f>
        <v>0</v>
      </c>
      <c r="K24" s="239">
        <f>-'[5]5.1 Grants - operating'!$D$31</f>
        <v>3000</v>
      </c>
      <c r="L24" s="239"/>
      <c r="M24" s="239"/>
      <c r="N24" s="239"/>
      <c r="O24" s="239"/>
      <c r="P24" s="239"/>
      <c r="Q24" s="239"/>
      <c r="R24" s="239"/>
      <c r="S24" s="239"/>
      <c r="T24" s="240"/>
      <c r="U24" s="241"/>
      <c r="V24" s="425">
        <f t="shared" si="0"/>
        <v>3000</v>
      </c>
      <c r="W24" s="17"/>
    </row>
    <row r="25" spans="1:23" ht="12" customHeight="1" x14ac:dyDescent="0.2">
      <c r="A25" s="6"/>
      <c r="B25" s="6"/>
      <c r="C25" s="13"/>
      <c r="D25" s="19">
        <f t="shared" si="1"/>
        <v>14</v>
      </c>
      <c r="E25" s="71" t="str">
        <f>IF(OR('Services - WHC'!E23="",'Services - WHC'!E23="[Enter service]"),"",'Services - WHC'!E23)</f>
        <v>Coastal Protection</v>
      </c>
      <c r="F25" s="72" t="str">
        <f>IF(OR('Services - WHC'!F23="",'Services - WHC'!F23="[Select]"),"",'Services - WHC'!F23)</f>
        <v>External</v>
      </c>
      <c r="G25" s="15"/>
      <c r="H25" s="239"/>
      <c r="I25" s="239"/>
      <c r="J25" s="239"/>
      <c r="K25" s="239"/>
      <c r="L25" s="239"/>
      <c r="M25" s="239"/>
      <c r="N25" s="239"/>
      <c r="O25" s="239"/>
      <c r="P25" s="239"/>
      <c r="Q25" s="239">
        <f>-GETPIVOTDATA("Sum of 2017/18",'[4]ESC Other Inc'!$A$3,"Stat of Inc &amp; Exp (Available Cash)","Other income","Strategic Objectives (KSAs)","SO2 - 02 - Coastal Protection - Inc")</f>
        <v>98400</v>
      </c>
      <c r="R25" s="239"/>
      <c r="S25" s="239"/>
      <c r="T25" s="240"/>
      <c r="U25" s="241"/>
      <c r="V25" s="425">
        <f t="shared" si="0"/>
        <v>98400</v>
      </c>
      <c r="W25" s="17"/>
    </row>
    <row r="26" spans="1:23" ht="12" customHeight="1" x14ac:dyDescent="0.2">
      <c r="A26" s="6"/>
      <c r="B26" s="6"/>
      <c r="C26" s="13"/>
      <c r="D26" s="19">
        <f t="shared" si="1"/>
        <v>15</v>
      </c>
      <c r="E26" s="71" t="str">
        <f>IF(OR('Services - WHC'!E24="",'Services - WHC'!E24="[Enter service]"),"",'Services - WHC'!E24)</f>
        <v>Waste Management and Recycling</v>
      </c>
      <c r="F26" s="72" t="str">
        <f>IF(OR('Services - WHC'!F24="",'Services - WHC'!F24="[Select]"),"",'Services - WHC'!F24)</f>
        <v>External</v>
      </c>
      <c r="G26" s="15"/>
      <c r="H26" s="239"/>
      <c r="I26" s="239">
        <f>-GETPIVOTDATA("Sum of 2017/18",'[4]ESC User Fees'!$A$3,"Stat of Inc &amp; Exp (Available Cash)","User fees and charges","Strategic Objectives (KSAs)","SO2 - 03 - Waste Management and Recycling - Inc")</f>
        <v>13300</v>
      </c>
      <c r="J26" s="239">
        <f>-GETPIVOTDATA("Sum of 2017/18",'[4]ESC Grants Op'!$A$3,"Stat of Inc &amp; Exp (Available Cash)","Grants - operating","Strategic Objectives (KSAs)","SO2 - 03 - Waste Management and Recycling - Inc")</f>
        <v>12700</v>
      </c>
      <c r="K26" s="239"/>
      <c r="L26" s="239"/>
      <c r="M26" s="239"/>
      <c r="N26" s="239"/>
      <c r="O26" s="239"/>
      <c r="P26" s="239"/>
      <c r="Q26" s="239"/>
      <c r="R26" s="239"/>
      <c r="S26" s="239"/>
      <c r="T26" s="240"/>
      <c r="U26" s="241"/>
      <c r="V26" s="425">
        <f t="shared" si="0"/>
        <v>26000</v>
      </c>
      <c r="W26" s="17"/>
    </row>
    <row r="27" spans="1:23" ht="12" customHeight="1" x14ac:dyDescent="0.2">
      <c r="A27" s="6"/>
      <c r="B27" s="6"/>
      <c r="C27" s="13"/>
      <c r="D27" s="19">
        <f t="shared" si="1"/>
        <v>16</v>
      </c>
      <c r="E27" s="71" t="str">
        <f>IF(OR('Services - WHC'!E25="",'Services - WHC'!E25="[Enter service]"),"",'Services - WHC'!E25)</f>
        <v>Tourist Parks and Boat Ramp Services</v>
      </c>
      <c r="F27" s="72" t="str">
        <f>IF(OR('Services - WHC'!F25="",'Services - WHC'!F25="[Select]"),"",'Services - WHC'!F25)</f>
        <v>External</v>
      </c>
      <c r="G27" s="15"/>
      <c r="H27" s="239"/>
      <c r="I27" s="239">
        <f>-GETPIVOTDATA("Sum of 2017/18",'[4]ESC User Fees'!$A$3,"Stat of Inc &amp; Exp (Available Cash)","User fees and charges","Strategic Objectives (KSAs)","SO3 - 01 - Tourist Parks and Boat Ramp Services - Inc")</f>
        <v>1733757.0621519531</v>
      </c>
      <c r="J27" s="239"/>
      <c r="K27" s="239"/>
      <c r="L27" s="239"/>
      <c r="M27" s="239"/>
      <c r="N27" s="239"/>
      <c r="O27" s="239"/>
      <c r="P27" s="239"/>
      <c r="Q27" s="239"/>
      <c r="R27" s="239"/>
      <c r="S27" s="239"/>
      <c r="T27" s="240"/>
      <c r="U27" s="241"/>
      <c r="V27" s="425">
        <f t="shared" si="0"/>
        <v>1733757.0621519531</v>
      </c>
      <c r="W27" s="17"/>
    </row>
    <row r="28" spans="1:23" ht="12" customHeight="1" x14ac:dyDescent="0.2">
      <c r="A28" s="6"/>
      <c r="B28" s="6"/>
      <c r="C28" s="13"/>
      <c r="D28" s="19">
        <f t="shared" si="1"/>
        <v>17</v>
      </c>
      <c r="E28" s="71" t="str">
        <f>IF(OR('Services - WHC'!E26="",'Services - WHC'!E26="[Enter service]"),"",'Services - WHC'!E26)</f>
        <v>Visitor Information Centre (VIC)</v>
      </c>
      <c r="F28" s="72" t="str">
        <f>IF(OR('Services - WHC'!F26="",'Services - WHC'!F26="[Select]"),"",'Services - WHC'!F26)</f>
        <v>External</v>
      </c>
      <c r="G28" s="15"/>
      <c r="H28" s="239"/>
      <c r="I28" s="239">
        <f>-GETPIVOTDATA("Sum of 2017/18",'[4]ESC User Fees'!$A$3,"Stat of Inc &amp; Exp (Available Cash)","User fees and charges","Strategic Objectives (KSAs)","SO3 - 02 - Visitor Information Centre (VIC) - Inc")</f>
        <v>12000</v>
      </c>
      <c r="J28" s="239"/>
      <c r="K28" s="239"/>
      <c r="L28" s="239"/>
      <c r="M28" s="239"/>
      <c r="N28" s="239"/>
      <c r="O28" s="239"/>
      <c r="P28" s="239"/>
      <c r="Q28" s="239"/>
      <c r="R28" s="239"/>
      <c r="S28" s="239"/>
      <c r="T28" s="240"/>
      <c r="U28" s="241"/>
      <c r="V28" s="425">
        <f t="shared" si="0"/>
        <v>12000</v>
      </c>
      <c r="W28" s="17"/>
    </row>
    <row r="29" spans="1:23" ht="12" customHeight="1" x14ac:dyDescent="0.2">
      <c r="A29" s="6"/>
      <c r="B29" s="6"/>
      <c r="C29" s="13"/>
      <c r="D29" s="19">
        <f t="shared" si="1"/>
        <v>18</v>
      </c>
      <c r="E29" s="71" t="str">
        <f>IF(OR('Services - WHC'!E27="",'Services - WHC'!E27="[Enter service]"),"",'Services - WHC'!E27)</f>
        <v>Tourism and Economic Development</v>
      </c>
      <c r="F29" s="72" t="str">
        <f>IF(OR('Services - WHC'!F27="",'Services - WHC'!F27="[Select]"),"",'Services - WHC'!F27)</f>
        <v>Mixed</v>
      </c>
      <c r="G29" s="15"/>
      <c r="H29" s="239"/>
      <c r="I29" s="239">
        <f>-GETPIVOTDATA("Sum of 2017/18",'[4]ESC User Fees'!$A$3,"Stat of Inc &amp; Exp (Available Cash)","User fees and charges","Strategic Objectives (KSAs)","SO3 - 03 - Tourism and Economic Development - Inc")</f>
        <v>500</v>
      </c>
      <c r="J29" s="239"/>
      <c r="K29" s="239"/>
      <c r="L29" s="239"/>
      <c r="M29" s="239"/>
      <c r="N29" s="239">
        <f>-GETPIVOTDATA("Sum of 2017/18",'[4]ESC Contrib Op'!$A$3,"Stat of Inc &amp; Exp (Available Cash)","Contributions - monetary - operating","Strategic Objectives (KSAs)","SO3 - 03 - Tourism and Economic Development - Inc")</f>
        <v>12500</v>
      </c>
      <c r="O29" s="239"/>
      <c r="P29" s="239"/>
      <c r="Q29" s="239"/>
      <c r="R29" s="239"/>
      <c r="S29" s="239"/>
      <c r="T29" s="240"/>
      <c r="U29" s="241"/>
      <c r="V29" s="425">
        <f t="shared" si="0"/>
        <v>13000</v>
      </c>
      <c r="W29" s="17"/>
    </row>
    <row r="30" spans="1:23" ht="12" customHeight="1" x14ac:dyDescent="0.2">
      <c r="A30" s="6"/>
      <c r="B30" s="6"/>
      <c r="C30" s="13"/>
      <c r="D30" s="19">
        <f t="shared" si="1"/>
        <v>19</v>
      </c>
      <c r="E30" s="71" t="str">
        <f>IF(OR('Services - WHC'!E28="",'Services - WHC'!E28="[Enter service]"),"",'Services - WHC'!E28)</f>
        <v>Design and Project Management</v>
      </c>
      <c r="F30" s="72" t="str">
        <f>IF(OR('Services - WHC'!F28="",'Services - WHC'!F28="[Select]"),"",'Services - WHC'!F28)</f>
        <v>Mixed</v>
      </c>
      <c r="G30" s="15"/>
      <c r="H30" s="239"/>
      <c r="I30" s="239"/>
      <c r="J30" s="239"/>
      <c r="K30" s="239"/>
      <c r="L30" s="239"/>
      <c r="M30" s="239"/>
      <c r="N30" s="239"/>
      <c r="O30" s="239"/>
      <c r="P30" s="239"/>
      <c r="Q30" s="239"/>
      <c r="R30" s="239"/>
      <c r="S30" s="239"/>
      <c r="T30" s="240"/>
      <c r="U30" s="241"/>
      <c r="V30" s="425">
        <f t="shared" si="0"/>
        <v>0</v>
      </c>
      <c r="W30" s="17"/>
    </row>
    <row r="31" spans="1:23" ht="12" customHeight="1" x14ac:dyDescent="0.2">
      <c r="A31" s="6"/>
      <c r="B31" s="6"/>
      <c r="C31" s="13"/>
      <c r="D31" s="19">
        <f t="shared" si="1"/>
        <v>20</v>
      </c>
      <c r="E31" s="71" t="str">
        <f>IF(OR('Services - WHC'!E29="",'Services - WHC'!E29="[Enter service]"),"",'Services - WHC'!E29)</f>
        <v>Land Use Planning</v>
      </c>
      <c r="F31" s="72" t="str">
        <f>IF(OR('Services - WHC'!F29="",'Services - WHC'!F29="[Select]"),"",'Services - WHC'!F29)</f>
        <v>External</v>
      </c>
      <c r="G31" s="15"/>
      <c r="H31" s="239">
        <f>-GETPIVOTDATA("Sum of 2017/18",'[4]ESC Stat Fees'!$A$3,"Stat of Inc &amp; Exp (Available Cash)","Statutory fees and fines","Strategic Objectives (KSAs)","SO4 - 02 - Land Use Planning - Inc")</f>
        <v>70000</v>
      </c>
      <c r="I31" s="239"/>
      <c r="J31" s="239"/>
      <c r="K31" s="239"/>
      <c r="L31" s="239"/>
      <c r="M31" s="239"/>
      <c r="N31" s="239"/>
      <c r="O31" s="239"/>
      <c r="P31" s="239"/>
      <c r="Q31" s="239"/>
      <c r="R31" s="239"/>
      <c r="S31" s="239"/>
      <c r="T31" s="240"/>
      <c r="U31" s="241"/>
      <c r="V31" s="425">
        <f t="shared" si="0"/>
        <v>70000</v>
      </c>
      <c r="W31" s="17"/>
    </row>
    <row r="32" spans="1:23" ht="12" customHeight="1" x14ac:dyDescent="0.2">
      <c r="A32" s="6"/>
      <c r="B32" s="6"/>
      <c r="C32" s="13"/>
      <c r="D32" s="19">
        <f t="shared" si="1"/>
        <v>21</v>
      </c>
      <c r="E32" s="71" t="str">
        <f>IF(OR('Services - WHC'!E30="",'Services - WHC'!E30="[Enter service]"),"",'Services - WHC'!E30)</f>
        <v>Heritage Conservation Advice</v>
      </c>
      <c r="F32" s="72" t="str">
        <f>IF(OR('Services - WHC'!F30="",'Services - WHC'!F30="[Select]"),"",'Services - WHC'!F30)</f>
        <v>External</v>
      </c>
      <c r="G32" s="15"/>
      <c r="H32" s="239"/>
      <c r="I32" s="239"/>
      <c r="J32" s="239"/>
      <c r="K32" s="239"/>
      <c r="L32" s="239"/>
      <c r="M32" s="239"/>
      <c r="N32" s="239"/>
      <c r="O32" s="239"/>
      <c r="P32" s="239"/>
      <c r="Q32" s="239"/>
      <c r="R32" s="239"/>
      <c r="S32" s="239"/>
      <c r="T32" s="240"/>
      <c r="U32" s="241"/>
      <c r="V32" s="425">
        <f t="shared" si="0"/>
        <v>0</v>
      </c>
      <c r="W32" s="17"/>
    </row>
    <row r="33" spans="1:23" ht="12" customHeight="1" x14ac:dyDescent="0.2">
      <c r="A33" s="6"/>
      <c r="B33" s="6"/>
      <c r="C33" s="13"/>
      <c r="D33" s="19">
        <f t="shared" si="1"/>
        <v>22</v>
      </c>
      <c r="E33" s="71" t="str">
        <f>IF(OR('Services - WHC'!E31="",'Services - WHC'!E31="[Enter service]"),"",'Services - WHC'!E31)</f>
        <v>Building Control</v>
      </c>
      <c r="F33" s="72" t="str">
        <f>IF(OR('Services - WHC'!F31="",'Services - WHC'!F31="[Select]"),"",'Services - WHC'!F31)</f>
        <v>External</v>
      </c>
      <c r="G33" s="15"/>
      <c r="H33" s="239"/>
      <c r="I33" s="239">
        <f>-GETPIVOTDATA("Sum of 2017/18",'[4]ESC User Fees'!$A$3,"Stat of Inc &amp; Exp (Available Cash)","User fees and charges","Strategic Objectives (KSAs)","SO4 - 04 - Building Control - Inc")</f>
        <v>15000</v>
      </c>
      <c r="J33" s="239"/>
      <c r="K33" s="239"/>
      <c r="L33" s="239"/>
      <c r="M33" s="239"/>
      <c r="N33" s="239"/>
      <c r="O33" s="239"/>
      <c r="P33" s="239"/>
      <c r="Q33" s="239"/>
      <c r="R33" s="239"/>
      <c r="S33" s="239"/>
      <c r="T33" s="240"/>
      <c r="U33" s="241"/>
      <c r="V33" s="425">
        <f t="shared" si="0"/>
        <v>15000</v>
      </c>
      <c r="W33" s="17"/>
    </row>
    <row r="34" spans="1:23" ht="12" customHeight="1" x14ac:dyDescent="0.2">
      <c r="A34" s="6"/>
      <c r="B34" s="6"/>
      <c r="C34" s="13"/>
      <c r="D34" s="19">
        <f t="shared" si="1"/>
        <v>23</v>
      </c>
      <c r="E34" s="71" t="str">
        <f>IF(OR('Services - WHC'!E32="",'Services - WHC'!E32="[Enter service]"),"",'Services - WHC'!E32)</f>
        <v>Council Governance</v>
      </c>
      <c r="F34" s="72" t="str">
        <f>IF(OR('Services - WHC'!F32="",'Services - WHC'!F32="[Select]"),"",'Services - WHC'!F32)</f>
        <v>Mixed</v>
      </c>
      <c r="G34" s="15"/>
      <c r="H34" s="239"/>
      <c r="I34" s="239"/>
      <c r="J34" s="239"/>
      <c r="K34" s="239"/>
      <c r="L34" s="239"/>
      <c r="M34" s="239"/>
      <c r="N34" s="239"/>
      <c r="O34" s="239"/>
      <c r="P34" s="239"/>
      <c r="Q34" s="239"/>
      <c r="R34" s="239"/>
      <c r="S34" s="239"/>
      <c r="T34" s="240"/>
      <c r="U34" s="241"/>
      <c r="V34" s="425">
        <f t="shared" si="0"/>
        <v>0</v>
      </c>
      <c r="W34" s="17"/>
    </row>
    <row r="35" spans="1:23" ht="12" customHeight="1" x14ac:dyDescent="0.2">
      <c r="A35" s="6"/>
      <c r="B35" s="6"/>
      <c r="C35" s="13"/>
      <c r="D35" s="19">
        <f t="shared" si="1"/>
        <v>24</v>
      </c>
      <c r="E35" s="71" t="str">
        <f>IF(OR('Services - WHC'!E33="",'Services - WHC'!E33="[Enter service]"),"",'Services - WHC'!E33)</f>
        <v>Organisation Performance and Compliance</v>
      </c>
      <c r="F35" s="72" t="str">
        <f>IF(OR('Services - WHC'!F33="",'Services - WHC'!F33="[Select]"),"",'Services - WHC'!F33)</f>
        <v>Internal</v>
      </c>
      <c r="G35" s="15"/>
      <c r="H35" s="239"/>
      <c r="I35" s="239">
        <f>-GETPIVOTDATA("Sum of 2017/18",'[4]ESC User Fees'!$A$3,"Stat of Inc &amp; Exp (Available Cash)","User fees and charges","Strategic Objectives (KSAs)","SO5 - 02 - Organisational Performance and Compliance - Inc")</f>
        <v>4800</v>
      </c>
      <c r="J35" s="239">
        <f>-GETPIVOTDATA("Sum of 2017/18",'[4]ESC Grants Op'!$A$3,"Stat of Inc &amp; Exp (Available Cash)","Grants - operating","Strategic Objectives (KSAs)","SO5 - 02 - Organisational Performance and Compliance - Inc")</f>
        <v>193000</v>
      </c>
      <c r="K35" s="239"/>
      <c r="L35" s="239"/>
      <c r="M35" s="239"/>
      <c r="N35" s="239"/>
      <c r="O35" s="239"/>
      <c r="P35" s="239"/>
      <c r="Q35" s="239">
        <f>-GETPIVOTDATA("Sum of 2017/18",'[4]ESC Other Inc'!$A$3,"Stat of Inc &amp; Exp (Available Cash)","Other income","Strategic Objectives (KSAs)","SO5 - 02 - Organisational Performance and Compliance - Inc")</f>
        <v>1300</v>
      </c>
      <c r="R35" s="239"/>
      <c r="S35" s="239"/>
      <c r="T35" s="240"/>
      <c r="U35" s="241"/>
      <c r="V35" s="425">
        <f t="shared" si="0"/>
        <v>199100</v>
      </c>
      <c r="W35" s="17"/>
    </row>
    <row r="36" spans="1:23" ht="12" customHeight="1" x14ac:dyDescent="0.2">
      <c r="A36" s="6"/>
      <c r="B36" s="6"/>
      <c r="C36" s="13"/>
      <c r="D36" s="19">
        <f t="shared" si="1"/>
        <v>25</v>
      </c>
      <c r="E36" s="71" t="str">
        <f>IF(OR('Services - WHC'!E34="",'Services - WHC'!E34="[Enter service]"),"",'Services - WHC'!E34)</f>
        <v>Community Engagement and Customer Service</v>
      </c>
      <c r="F36" s="72" t="str">
        <f>IF(OR('Services - WHC'!F34="",'Services - WHC'!F34="[Select]"),"",'Services - WHC'!F34)</f>
        <v>Mixed</v>
      </c>
      <c r="G36" s="15"/>
      <c r="H36" s="239"/>
      <c r="I36" s="239"/>
      <c r="J36" s="239"/>
      <c r="K36" s="239"/>
      <c r="L36" s="239"/>
      <c r="M36" s="239"/>
      <c r="N36" s="239"/>
      <c r="O36" s="239"/>
      <c r="P36" s="239"/>
      <c r="Q36" s="239"/>
      <c r="R36" s="239"/>
      <c r="S36" s="239"/>
      <c r="T36" s="240"/>
      <c r="U36" s="241"/>
      <c r="V36" s="425">
        <f t="shared" si="0"/>
        <v>0</v>
      </c>
      <c r="W36" s="17"/>
    </row>
    <row r="37" spans="1:23" ht="12" customHeight="1" x14ac:dyDescent="0.2">
      <c r="A37" s="6"/>
      <c r="B37" s="6"/>
      <c r="C37" s="13"/>
      <c r="D37" s="19">
        <f t="shared" si="1"/>
        <v>26</v>
      </c>
      <c r="E37" s="71" t="str">
        <f>IF(OR('Services - WHC'!E35="",'Services - WHC'!E35="[Enter service]"),"",'Services - WHC'!E35)</f>
        <v>Financial and Risk Management</v>
      </c>
      <c r="F37" s="72" t="str">
        <f>IF(OR('Services - WHC'!F35="",'Services - WHC'!F35="[Select]"),"",'Services - WHC'!F35)</f>
        <v>Internal</v>
      </c>
      <c r="G37" s="15"/>
      <c r="H37" s="239">
        <f>-GETPIVOTDATA("Sum of 2017/18",'[4]ESC Stat Fees'!$A$3,"Stat of Inc &amp; Exp (Available Cash)","Statutory fees and fines","Strategic Objectives (KSAs)","SO5 - 04 - Financial and Risk Management - Inc")</f>
        <v>9000</v>
      </c>
      <c r="I37" s="239">
        <f>-GETPIVOTDATA("Sum of 2017/18",'[4]ESC User Fees'!$A$3,"Stat of Inc &amp; Exp (Available Cash)","User fees and charges","Strategic Objectives (KSAs)","SO5 - 04 - Financial and Risk Management - Inc")</f>
        <v>44873</v>
      </c>
      <c r="J37" s="239">
        <f>-GETPIVOTDATA("Sum of 2017/18",'[4]ESC Grants Op'!$A$3,"Stat of Inc &amp; Exp (Available Cash)","Grants - operating","Strategic Objectives (KSAs)","SO5 - 04 - Financial and Risk Management - Inc")</f>
        <v>38000</v>
      </c>
      <c r="K37" s="239"/>
      <c r="L37" s="239"/>
      <c r="M37" s="239"/>
      <c r="N37" s="239"/>
      <c r="O37" s="239"/>
      <c r="P37" s="239"/>
      <c r="Q37" s="239">
        <f>-GETPIVOTDATA("Sum of 2017/18",'[4]ESC Other Inc'!$A$3,"Stat of Inc &amp; Exp (Available Cash)","Other income","Strategic Objectives (KSAs)","SO5 - 04 - Financial and Risk Management - Inc")</f>
        <v>134500</v>
      </c>
      <c r="R37" s="239"/>
      <c r="S37" s="239"/>
      <c r="T37" s="240"/>
      <c r="U37" s="241"/>
      <c r="V37" s="425">
        <f t="shared" si="0"/>
        <v>226373</v>
      </c>
      <c r="W37" s="17"/>
    </row>
    <row r="38" spans="1:23" ht="12" customHeight="1" x14ac:dyDescent="0.2">
      <c r="A38" s="6"/>
      <c r="B38" s="6"/>
      <c r="C38" s="13"/>
      <c r="D38" s="19">
        <f t="shared" si="1"/>
        <v>27</v>
      </c>
      <c r="E38" s="71" t="str">
        <f>IF(OR('Services - WHC'!E36="",'Services - WHC'!E36="[Enter service]"),"",'Services - WHC'!E36)</f>
        <v/>
      </c>
      <c r="F38" s="72" t="str">
        <f>IF(OR('Services - WHC'!F36="",'Services - WHC'!F36="[Select]"),"",'Services - WHC'!F36)</f>
        <v/>
      </c>
      <c r="G38" s="15"/>
      <c r="H38" s="239"/>
      <c r="I38" s="239"/>
      <c r="J38" s="239"/>
      <c r="K38" s="239"/>
      <c r="L38" s="239"/>
      <c r="M38" s="239"/>
      <c r="N38" s="239"/>
      <c r="O38" s="239"/>
      <c r="P38" s="239"/>
      <c r="Q38" s="239"/>
      <c r="R38" s="239"/>
      <c r="S38" s="239"/>
      <c r="T38" s="240"/>
      <c r="U38" s="241"/>
      <c r="V38" s="425">
        <f t="shared" si="0"/>
        <v>0</v>
      </c>
      <c r="W38" s="17"/>
    </row>
    <row r="39" spans="1:23" ht="12" customHeight="1" x14ac:dyDescent="0.2">
      <c r="A39" s="6"/>
      <c r="B39" s="6"/>
      <c r="C39" s="13"/>
      <c r="D39" s="19">
        <f t="shared" si="1"/>
        <v>28</v>
      </c>
      <c r="E39" s="71" t="str">
        <f>IF(OR('Services - WHC'!E37="",'Services - WHC'!E37="[Enter service]"),"",'Services - WHC'!E37)</f>
        <v>Capital Works Program</v>
      </c>
      <c r="F39" s="72" t="str">
        <f>IF(OR('Services - WHC'!F37="",'Services - WHC'!F37="[Select]"),"",'Services - WHC'!F37)</f>
        <v>External</v>
      </c>
      <c r="G39" s="15"/>
      <c r="H39" s="239"/>
      <c r="I39" s="239"/>
      <c r="J39" s="239"/>
      <c r="K39" s="239"/>
      <c r="L39" s="239">
        <f>-'[5]5.2 Grants - capital'!$D$31</f>
        <v>231300</v>
      </c>
      <c r="M39" s="239">
        <f>-GETPIVOTDATA("Sum of 2017/18",'[4]ESC Grants Cap'!$A$3,"Stat of Inc &amp; Exp (Available Cash)","Grants - capital")-L39</f>
        <v>2616451</v>
      </c>
      <c r="N39" s="239"/>
      <c r="O39" s="239">
        <f>-GETPIVOTDATA("Sum of 2017/18",'[4]ESC Contrib Cap'!$A$3,"Stat of Inc &amp; Exp (Available Cash)","Contributions - monetary - capital")</f>
        <v>5000</v>
      </c>
      <c r="P39" s="239"/>
      <c r="Q39" s="239"/>
      <c r="R39" s="239"/>
      <c r="S39" s="239"/>
      <c r="T39" s="240"/>
      <c r="U39" s="241"/>
      <c r="V39" s="425">
        <f t="shared" si="0"/>
        <v>2852751</v>
      </c>
      <c r="W39" s="17"/>
    </row>
    <row r="40" spans="1:23" ht="12" customHeight="1" x14ac:dyDescent="0.2">
      <c r="A40" s="6"/>
      <c r="B40" s="6"/>
      <c r="C40" s="13"/>
      <c r="D40" s="19">
        <f t="shared" si="1"/>
        <v>29</v>
      </c>
      <c r="E40" s="71" t="str">
        <f>IF(OR('Services - WHC'!E38="",'Services - WHC'!E38="[Enter service]"),"",'Services - WHC'!E38)</f>
        <v/>
      </c>
      <c r="F40" s="72" t="str">
        <f>IF(OR('Services - WHC'!F38="",'Services - WHC'!F38="[Select]"),"",'Services - WHC'!F38)</f>
        <v/>
      </c>
      <c r="G40" s="15"/>
      <c r="H40" s="239"/>
      <c r="I40" s="239"/>
      <c r="J40" s="239"/>
      <c r="K40" s="239"/>
      <c r="L40" s="239"/>
      <c r="M40" s="239"/>
      <c r="N40" s="239"/>
      <c r="O40" s="239"/>
      <c r="P40" s="239"/>
      <c r="Q40" s="239"/>
      <c r="R40" s="239"/>
      <c r="S40" s="239"/>
      <c r="T40" s="240"/>
      <c r="U40" s="241"/>
      <c r="V40" s="425">
        <f t="shared" si="0"/>
        <v>0</v>
      </c>
      <c r="W40" s="17"/>
    </row>
    <row r="41" spans="1:23" ht="12" customHeight="1" x14ac:dyDescent="0.2">
      <c r="A41" s="6"/>
      <c r="B41" s="6"/>
      <c r="C41" s="13"/>
      <c r="D41" s="19">
        <f t="shared" si="1"/>
        <v>30</v>
      </c>
      <c r="E41" s="71" t="str">
        <f>IF(OR('Services - WHC'!E39="",'Services - WHC'!E39="[Enter service]"),"",'Services - WHC'!E39)</f>
        <v/>
      </c>
      <c r="F41" s="72" t="str">
        <f>IF(OR('Services - WHC'!F39="",'Services - WHC'!F39="[Select]"),"",'Services - WHC'!F39)</f>
        <v/>
      </c>
      <c r="G41" s="15"/>
      <c r="H41" s="239"/>
      <c r="I41" s="239"/>
      <c r="J41" s="239"/>
      <c r="K41" s="239"/>
      <c r="L41" s="239"/>
      <c r="M41" s="239"/>
      <c r="N41" s="239"/>
      <c r="O41" s="239"/>
      <c r="P41" s="239"/>
      <c r="Q41" s="239"/>
      <c r="R41" s="239"/>
      <c r="S41" s="239"/>
      <c r="T41" s="240"/>
      <c r="U41" s="241"/>
      <c r="V41" s="425">
        <f t="shared" si="0"/>
        <v>0</v>
      </c>
      <c r="W41" s="17"/>
    </row>
    <row r="42" spans="1:23" ht="12" customHeight="1" x14ac:dyDescent="0.2">
      <c r="A42" s="6"/>
      <c r="B42" s="6"/>
      <c r="C42" s="13"/>
      <c r="D42" s="19">
        <f t="shared" si="1"/>
        <v>31</v>
      </c>
      <c r="E42" s="71" t="str">
        <f>IF(OR('Services - WHC'!E40="",'Services - WHC'!E40="[Enter service]"),"",'Services - WHC'!E40)</f>
        <v/>
      </c>
      <c r="F42" s="72" t="str">
        <f>IF(OR('Services - WHC'!F40="",'Services - WHC'!F40="[Select]"),"",'Services - WHC'!F40)</f>
        <v/>
      </c>
      <c r="G42" s="15"/>
      <c r="H42" s="239"/>
      <c r="I42" s="239"/>
      <c r="J42" s="239"/>
      <c r="K42" s="239"/>
      <c r="L42" s="239"/>
      <c r="M42" s="239"/>
      <c r="N42" s="239"/>
      <c r="O42" s="239"/>
      <c r="P42" s="239"/>
      <c r="Q42" s="239"/>
      <c r="R42" s="239"/>
      <c r="S42" s="239"/>
      <c r="T42" s="240"/>
      <c r="U42" s="241"/>
      <c r="V42" s="425">
        <f t="shared" si="0"/>
        <v>0</v>
      </c>
      <c r="W42" s="17"/>
    </row>
    <row r="43" spans="1:23" ht="12" customHeight="1" x14ac:dyDescent="0.2">
      <c r="A43" s="6"/>
      <c r="B43" s="6"/>
      <c r="C43" s="13"/>
      <c r="D43" s="19">
        <f t="shared" si="1"/>
        <v>32</v>
      </c>
      <c r="E43" s="71" t="str">
        <f>IF(OR('Services - WHC'!E41="",'Services - WHC'!E41="[Enter service]"),"",'Services - WHC'!E41)</f>
        <v/>
      </c>
      <c r="F43" s="72" t="str">
        <f>IF(OR('Services - WHC'!F41="",'Services - WHC'!F41="[Select]"),"",'Services - WHC'!F41)</f>
        <v/>
      </c>
      <c r="G43" s="15"/>
      <c r="H43" s="239"/>
      <c r="I43" s="239"/>
      <c r="J43" s="239"/>
      <c r="K43" s="239"/>
      <c r="L43" s="239"/>
      <c r="M43" s="239"/>
      <c r="N43" s="239"/>
      <c r="O43" s="239"/>
      <c r="P43" s="239"/>
      <c r="Q43" s="239"/>
      <c r="R43" s="239"/>
      <c r="S43" s="239"/>
      <c r="T43" s="240"/>
      <c r="U43" s="241"/>
      <c r="V43" s="425">
        <f t="shared" si="0"/>
        <v>0</v>
      </c>
      <c r="W43" s="17"/>
    </row>
    <row r="44" spans="1:23" ht="12" customHeight="1" x14ac:dyDescent="0.2">
      <c r="A44" s="6"/>
      <c r="B44" s="6"/>
      <c r="C44" s="13"/>
      <c r="D44" s="19">
        <f t="shared" si="1"/>
        <v>33</v>
      </c>
      <c r="E44" s="71" t="str">
        <f>IF(OR('Services - WHC'!E42="",'Services - WHC'!E42="[Enter service]"),"",'Services - WHC'!E42)</f>
        <v/>
      </c>
      <c r="F44" s="72" t="str">
        <f>IF(OR('Services - WHC'!F42="",'Services - WHC'!F42="[Select]"),"",'Services - WHC'!F42)</f>
        <v/>
      </c>
      <c r="G44" s="15"/>
      <c r="H44" s="239"/>
      <c r="I44" s="239"/>
      <c r="J44" s="239"/>
      <c r="K44" s="239"/>
      <c r="L44" s="239"/>
      <c r="M44" s="239"/>
      <c r="N44" s="239"/>
      <c r="O44" s="239"/>
      <c r="P44" s="239"/>
      <c r="Q44" s="239"/>
      <c r="R44" s="239"/>
      <c r="S44" s="239"/>
      <c r="T44" s="240"/>
      <c r="U44" s="241"/>
      <c r="V44" s="425">
        <f t="shared" ref="V44:V75" si="2">SUM(H44:U44)</f>
        <v>0</v>
      </c>
      <c r="W44" s="17"/>
    </row>
    <row r="45" spans="1:23" ht="12" customHeight="1" x14ac:dyDescent="0.2">
      <c r="A45" s="6"/>
      <c r="B45" s="6"/>
      <c r="C45" s="13"/>
      <c r="D45" s="19">
        <f t="shared" si="1"/>
        <v>34</v>
      </c>
      <c r="E45" s="71" t="str">
        <f>IF(OR('Services - WHC'!E43="",'Services - WHC'!E43="[Enter service]"),"",'Services - WHC'!E43)</f>
        <v/>
      </c>
      <c r="F45" s="72" t="str">
        <f>IF(OR('Services - WHC'!F43="",'Services - WHC'!F43="[Select]"),"",'Services - WHC'!F43)</f>
        <v/>
      </c>
      <c r="G45" s="15"/>
      <c r="H45" s="239"/>
      <c r="I45" s="239"/>
      <c r="J45" s="239"/>
      <c r="K45" s="239"/>
      <c r="L45" s="239"/>
      <c r="M45" s="239"/>
      <c r="N45" s="239"/>
      <c r="O45" s="239"/>
      <c r="P45" s="239"/>
      <c r="Q45" s="239"/>
      <c r="R45" s="239"/>
      <c r="S45" s="239"/>
      <c r="T45" s="240"/>
      <c r="U45" s="241"/>
      <c r="V45" s="425">
        <f t="shared" si="2"/>
        <v>0</v>
      </c>
      <c r="W45" s="17"/>
    </row>
    <row r="46" spans="1:23" ht="12" customHeight="1" x14ac:dyDescent="0.2">
      <c r="A46" s="6"/>
      <c r="B46" s="6"/>
      <c r="C46" s="13"/>
      <c r="D46" s="19">
        <f t="shared" si="1"/>
        <v>35</v>
      </c>
      <c r="E46" s="71" t="str">
        <f>IF(OR('Services - WHC'!E44="",'Services - WHC'!E44="[Enter service]"),"",'Services - WHC'!E44)</f>
        <v/>
      </c>
      <c r="F46" s="72" t="str">
        <f>IF(OR('Services - WHC'!F44="",'Services - WHC'!F44="[Select]"),"",'Services - WHC'!F44)</f>
        <v/>
      </c>
      <c r="G46" s="15"/>
      <c r="H46" s="239"/>
      <c r="I46" s="239"/>
      <c r="J46" s="239"/>
      <c r="K46" s="239"/>
      <c r="L46" s="239"/>
      <c r="M46" s="239"/>
      <c r="N46" s="239"/>
      <c r="O46" s="239"/>
      <c r="P46" s="239"/>
      <c r="Q46" s="239"/>
      <c r="R46" s="239"/>
      <c r="S46" s="239"/>
      <c r="T46" s="240"/>
      <c r="U46" s="241"/>
      <c r="V46" s="425">
        <f t="shared" si="2"/>
        <v>0</v>
      </c>
      <c r="W46" s="17"/>
    </row>
    <row r="47" spans="1:23" ht="12" customHeight="1" x14ac:dyDescent="0.2">
      <c r="A47" s="6"/>
      <c r="B47" s="6"/>
      <c r="C47" s="13"/>
      <c r="D47" s="19">
        <f t="shared" si="1"/>
        <v>36</v>
      </c>
      <c r="E47" s="71" t="str">
        <f>IF(OR('Services - WHC'!E45="",'Services - WHC'!E45="[Enter service]"),"",'Services - WHC'!E45)</f>
        <v/>
      </c>
      <c r="F47" s="72" t="str">
        <f>IF(OR('Services - WHC'!F45="",'Services - WHC'!F45="[Select]"),"",'Services - WHC'!F45)</f>
        <v/>
      </c>
      <c r="G47" s="15"/>
      <c r="H47" s="239"/>
      <c r="I47" s="239"/>
      <c r="J47" s="239"/>
      <c r="K47" s="239"/>
      <c r="L47" s="239"/>
      <c r="M47" s="239"/>
      <c r="N47" s="239"/>
      <c r="O47" s="239"/>
      <c r="P47" s="239"/>
      <c r="Q47" s="239"/>
      <c r="R47" s="239"/>
      <c r="S47" s="239"/>
      <c r="T47" s="240"/>
      <c r="U47" s="241"/>
      <c r="V47" s="425">
        <f t="shared" si="2"/>
        <v>0</v>
      </c>
      <c r="W47" s="17"/>
    </row>
    <row r="48" spans="1:23" ht="12" customHeight="1" x14ac:dyDescent="0.2">
      <c r="A48" s="6"/>
      <c r="B48" s="6"/>
      <c r="C48" s="13"/>
      <c r="D48" s="19">
        <f t="shared" si="1"/>
        <v>37</v>
      </c>
      <c r="E48" s="71" t="str">
        <f>IF(OR('Services - WHC'!E46="",'Services - WHC'!E46="[Enter service]"),"",'Services - WHC'!E46)</f>
        <v/>
      </c>
      <c r="F48" s="72" t="str">
        <f>IF(OR('Services - WHC'!F46="",'Services - WHC'!F46="[Select]"),"",'Services - WHC'!F46)</f>
        <v/>
      </c>
      <c r="G48" s="15"/>
      <c r="H48" s="239"/>
      <c r="I48" s="239"/>
      <c r="J48" s="239"/>
      <c r="K48" s="239"/>
      <c r="L48" s="239"/>
      <c r="M48" s="239"/>
      <c r="N48" s="239"/>
      <c r="O48" s="239"/>
      <c r="P48" s="239"/>
      <c r="Q48" s="239"/>
      <c r="R48" s="239"/>
      <c r="S48" s="239"/>
      <c r="T48" s="240"/>
      <c r="U48" s="241"/>
      <c r="V48" s="425">
        <f t="shared" si="2"/>
        <v>0</v>
      </c>
      <c r="W48" s="17"/>
    </row>
    <row r="49" spans="1:23" ht="12" customHeight="1" x14ac:dyDescent="0.2">
      <c r="A49" s="6"/>
      <c r="B49" s="6"/>
      <c r="C49" s="13"/>
      <c r="D49" s="19">
        <f t="shared" si="1"/>
        <v>38</v>
      </c>
      <c r="E49" s="71" t="str">
        <f>IF(OR('Services - WHC'!E47="",'Services - WHC'!E47="[Enter service]"),"",'Services - WHC'!E47)</f>
        <v/>
      </c>
      <c r="F49" s="72" t="str">
        <f>IF(OR('Services - WHC'!F47="",'Services - WHC'!F47="[Select]"),"",'Services - WHC'!F47)</f>
        <v/>
      </c>
      <c r="G49" s="15"/>
      <c r="H49" s="239"/>
      <c r="I49" s="239"/>
      <c r="J49" s="239"/>
      <c r="K49" s="239"/>
      <c r="L49" s="239"/>
      <c r="M49" s="239"/>
      <c r="N49" s="239"/>
      <c r="O49" s="239"/>
      <c r="P49" s="239"/>
      <c r="Q49" s="239"/>
      <c r="R49" s="239"/>
      <c r="S49" s="239"/>
      <c r="T49" s="240"/>
      <c r="U49" s="241"/>
      <c r="V49" s="425">
        <f t="shared" si="2"/>
        <v>0</v>
      </c>
      <c r="W49" s="17"/>
    </row>
    <row r="50" spans="1:23" ht="12" customHeight="1" x14ac:dyDescent="0.2">
      <c r="A50" s="6"/>
      <c r="B50" s="6"/>
      <c r="C50" s="13"/>
      <c r="D50" s="19">
        <f t="shared" si="1"/>
        <v>39</v>
      </c>
      <c r="E50" s="71" t="str">
        <f>IF(OR('Services - WHC'!E48="",'Services - WHC'!E48="[Enter service]"),"",'Services - WHC'!E48)</f>
        <v/>
      </c>
      <c r="F50" s="72" t="str">
        <f>IF(OR('Services - WHC'!F48="",'Services - WHC'!F48="[Select]"),"",'Services - WHC'!F48)</f>
        <v/>
      </c>
      <c r="G50" s="15"/>
      <c r="H50" s="239"/>
      <c r="I50" s="239"/>
      <c r="J50" s="239"/>
      <c r="K50" s="239"/>
      <c r="L50" s="239"/>
      <c r="M50" s="239"/>
      <c r="N50" s="239"/>
      <c r="O50" s="239"/>
      <c r="P50" s="239"/>
      <c r="Q50" s="239"/>
      <c r="R50" s="239"/>
      <c r="S50" s="239"/>
      <c r="T50" s="240"/>
      <c r="U50" s="241"/>
      <c r="V50" s="425">
        <f t="shared" si="2"/>
        <v>0</v>
      </c>
      <c r="W50" s="17"/>
    </row>
    <row r="51" spans="1:23" ht="12" customHeight="1" x14ac:dyDescent="0.2">
      <c r="A51" s="6"/>
      <c r="B51" s="6"/>
      <c r="C51" s="13"/>
      <c r="D51" s="19">
        <f t="shared" si="1"/>
        <v>40</v>
      </c>
      <c r="E51" s="71" t="str">
        <f>IF(OR('Services - WHC'!E49="",'Services - WHC'!E49="[Enter service]"),"",'Services - WHC'!E49)</f>
        <v/>
      </c>
      <c r="F51" s="72" t="str">
        <f>IF(OR('Services - WHC'!F49="",'Services - WHC'!F49="[Select]"),"",'Services - WHC'!F49)</f>
        <v/>
      </c>
      <c r="G51" s="15"/>
      <c r="H51" s="239"/>
      <c r="I51" s="239"/>
      <c r="J51" s="239"/>
      <c r="K51" s="239"/>
      <c r="L51" s="239"/>
      <c r="M51" s="239"/>
      <c r="N51" s="239"/>
      <c r="O51" s="239"/>
      <c r="P51" s="239"/>
      <c r="Q51" s="239"/>
      <c r="R51" s="239"/>
      <c r="S51" s="239"/>
      <c r="T51" s="240"/>
      <c r="U51" s="241"/>
      <c r="V51" s="425">
        <f t="shared" si="2"/>
        <v>0</v>
      </c>
      <c r="W51" s="17"/>
    </row>
    <row r="52" spans="1:23" ht="12" customHeight="1" x14ac:dyDescent="0.2">
      <c r="A52" s="6"/>
      <c r="B52" s="6"/>
      <c r="C52" s="13"/>
      <c r="D52" s="19">
        <f t="shared" si="1"/>
        <v>41</v>
      </c>
      <c r="E52" s="71" t="str">
        <f>IF(OR('Services - WHC'!E50="",'Services - WHC'!E50="[Enter service]"),"",'Services - WHC'!E50)</f>
        <v/>
      </c>
      <c r="F52" s="72" t="str">
        <f>IF(OR('Services - WHC'!F50="",'Services - WHC'!F50="[Select]"),"",'Services - WHC'!F50)</f>
        <v/>
      </c>
      <c r="G52" s="15"/>
      <c r="H52" s="239"/>
      <c r="I52" s="239"/>
      <c r="J52" s="239"/>
      <c r="K52" s="239"/>
      <c r="L52" s="239"/>
      <c r="M52" s="239"/>
      <c r="N52" s="239"/>
      <c r="O52" s="239"/>
      <c r="P52" s="239"/>
      <c r="Q52" s="239"/>
      <c r="R52" s="239"/>
      <c r="S52" s="239"/>
      <c r="T52" s="240"/>
      <c r="U52" s="241"/>
      <c r="V52" s="425">
        <f t="shared" si="2"/>
        <v>0</v>
      </c>
      <c r="W52" s="17"/>
    </row>
    <row r="53" spans="1:23" ht="12" customHeight="1" x14ac:dyDescent="0.2">
      <c r="A53" s="6"/>
      <c r="B53" s="6"/>
      <c r="C53" s="13"/>
      <c r="D53" s="19">
        <f t="shared" si="1"/>
        <v>42</v>
      </c>
      <c r="E53" s="71" t="str">
        <f>IF(OR('Services - WHC'!E51="",'Services - WHC'!E51="[Enter service]"),"",'Services - WHC'!E51)</f>
        <v/>
      </c>
      <c r="F53" s="72" t="str">
        <f>IF(OR('Services - WHC'!F51="",'Services - WHC'!F51="[Select]"),"",'Services - WHC'!F51)</f>
        <v/>
      </c>
      <c r="G53" s="15"/>
      <c r="H53" s="239"/>
      <c r="I53" s="239"/>
      <c r="J53" s="239"/>
      <c r="K53" s="239"/>
      <c r="L53" s="239"/>
      <c r="M53" s="239"/>
      <c r="N53" s="239"/>
      <c r="O53" s="239"/>
      <c r="P53" s="239"/>
      <c r="Q53" s="239"/>
      <c r="R53" s="239"/>
      <c r="S53" s="239"/>
      <c r="T53" s="240"/>
      <c r="U53" s="241"/>
      <c r="V53" s="425">
        <f t="shared" si="2"/>
        <v>0</v>
      </c>
      <c r="W53" s="17"/>
    </row>
    <row r="54" spans="1:23" ht="12" customHeight="1" x14ac:dyDescent="0.2">
      <c r="A54" s="6"/>
      <c r="B54" s="6"/>
      <c r="C54" s="13"/>
      <c r="D54" s="19">
        <f t="shared" si="1"/>
        <v>43</v>
      </c>
      <c r="E54" s="71" t="str">
        <f>IF(OR('Services - WHC'!E52="",'Services - WHC'!E52="[Enter service]"),"",'Services - WHC'!E52)</f>
        <v/>
      </c>
      <c r="F54" s="72" t="str">
        <f>IF(OR('Services - WHC'!F52="",'Services - WHC'!F52="[Select]"),"",'Services - WHC'!F52)</f>
        <v/>
      </c>
      <c r="G54" s="15"/>
      <c r="H54" s="239"/>
      <c r="I54" s="239"/>
      <c r="J54" s="239"/>
      <c r="K54" s="239"/>
      <c r="L54" s="239"/>
      <c r="M54" s="239"/>
      <c r="N54" s="239"/>
      <c r="O54" s="239"/>
      <c r="P54" s="239"/>
      <c r="Q54" s="239"/>
      <c r="R54" s="239"/>
      <c r="S54" s="239"/>
      <c r="T54" s="240"/>
      <c r="U54" s="241"/>
      <c r="V54" s="425">
        <f t="shared" si="2"/>
        <v>0</v>
      </c>
      <c r="W54" s="17"/>
    </row>
    <row r="55" spans="1:23" ht="12" customHeight="1" x14ac:dyDescent="0.2">
      <c r="A55" s="6"/>
      <c r="B55" s="6"/>
      <c r="C55" s="13"/>
      <c r="D55" s="19">
        <f t="shared" si="1"/>
        <v>44</v>
      </c>
      <c r="E55" s="71" t="str">
        <f>IF(OR('Services - WHC'!E53="",'Services - WHC'!E53="[Enter service]"),"",'Services - WHC'!E53)</f>
        <v/>
      </c>
      <c r="F55" s="72" t="str">
        <f>IF(OR('Services - WHC'!F53="",'Services - WHC'!F53="[Select]"),"",'Services - WHC'!F53)</f>
        <v/>
      </c>
      <c r="G55" s="15"/>
      <c r="H55" s="239"/>
      <c r="I55" s="239"/>
      <c r="J55" s="239"/>
      <c r="K55" s="239"/>
      <c r="L55" s="239"/>
      <c r="M55" s="239"/>
      <c r="N55" s="239"/>
      <c r="O55" s="239"/>
      <c r="P55" s="239"/>
      <c r="Q55" s="239"/>
      <c r="R55" s="239"/>
      <c r="S55" s="239"/>
      <c r="T55" s="240"/>
      <c r="U55" s="241"/>
      <c r="V55" s="425">
        <f t="shared" si="2"/>
        <v>0</v>
      </c>
      <c r="W55" s="17"/>
    </row>
    <row r="56" spans="1:23" ht="12" customHeight="1" x14ac:dyDescent="0.2">
      <c r="A56" s="6"/>
      <c r="B56" s="6"/>
      <c r="C56" s="13"/>
      <c r="D56" s="19">
        <f t="shared" si="1"/>
        <v>45</v>
      </c>
      <c r="E56" s="71" t="str">
        <f>IF(OR('Services - WHC'!E54="",'Services - WHC'!E54="[Enter service]"),"",'Services - WHC'!E54)</f>
        <v/>
      </c>
      <c r="F56" s="72" t="str">
        <f>IF(OR('Services - WHC'!F54="",'Services - WHC'!F54="[Select]"),"",'Services - WHC'!F54)</f>
        <v/>
      </c>
      <c r="G56" s="15"/>
      <c r="H56" s="239"/>
      <c r="I56" s="239"/>
      <c r="J56" s="239"/>
      <c r="K56" s="239"/>
      <c r="L56" s="239"/>
      <c r="M56" s="239"/>
      <c r="N56" s="239"/>
      <c r="O56" s="239"/>
      <c r="P56" s="239"/>
      <c r="Q56" s="239"/>
      <c r="R56" s="239"/>
      <c r="S56" s="239"/>
      <c r="T56" s="240"/>
      <c r="U56" s="241"/>
      <c r="V56" s="425">
        <f t="shared" si="2"/>
        <v>0</v>
      </c>
      <c r="W56" s="17"/>
    </row>
    <row r="57" spans="1:23" ht="12" customHeight="1" x14ac:dyDescent="0.2">
      <c r="A57" s="6"/>
      <c r="B57" s="6"/>
      <c r="C57" s="13"/>
      <c r="D57" s="19">
        <f t="shared" si="1"/>
        <v>46</v>
      </c>
      <c r="E57" s="71" t="str">
        <f>IF(OR('Services - WHC'!E55="",'Services - WHC'!E55="[Enter service]"),"",'Services - WHC'!E55)</f>
        <v/>
      </c>
      <c r="F57" s="72" t="str">
        <f>IF(OR('Services - WHC'!F55="",'Services - WHC'!F55="[Select]"),"",'Services - WHC'!F55)</f>
        <v/>
      </c>
      <c r="G57" s="15"/>
      <c r="H57" s="239"/>
      <c r="I57" s="239"/>
      <c r="J57" s="239"/>
      <c r="K57" s="239"/>
      <c r="L57" s="239"/>
      <c r="M57" s="239"/>
      <c r="N57" s="239"/>
      <c r="O57" s="239"/>
      <c r="P57" s="239"/>
      <c r="Q57" s="239"/>
      <c r="R57" s="239"/>
      <c r="S57" s="239"/>
      <c r="T57" s="240"/>
      <c r="U57" s="241"/>
      <c r="V57" s="425">
        <f t="shared" si="2"/>
        <v>0</v>
      </c>
      <c r="W57" s="17"/>
    </row>
    <row r="58" spans="1:23" ht="12" customHeight="1" x14ac:dyDescent="0.2">
      <c r="A58" s="6"/>
      <c r="B58" s="6"/>
      <c r="C58" s="13"/>
      <c r="D58" s="19">
        <f t="shared" si="1"/>
        <v>47</v>
      </c>
      <c r="E58" s="71" t="str">
        <f>IF(OR('Services - WHC'!E56="",'Services - WHC'!E56="[Enter service]"),"",'Services - WHC'!E56)</f>
        <v/>
      </c>
      <c r="F58" s="72" t="str">
        <f>IF(OR('Services - WHC'!F56="",'Services - WHC'!F56="[Select]"),"",'Services - WHC'!F56)</f>
        <v/>
      </c>
      <c r="G58" s="15"/>
      <c r="H58" s="239"/>
      <c r="I58" s="239"/>
      <c r="J58" s="239"/>
      <c r="K58" s="239"/>
      <c r="L58" s="239"/>
      <c r="M58" s="239"/>
      <c r="N58" s="239"/>
      <c r="O58" s="239"/>
      <c r="P58" s="239"/>
      <c r="Q58" s="239"/>
      <c r="R58" s="239"/>
      <c r="S58" s="239"/>
      <c r="T58" s="240"/>
      <c r="U58" s="241"/>
      <c r="V58" s="425">
        <f t="shared" si="2"/>
        <v>0</v>
      </c>
      <c r="W58" s="17"/>
    </row>
    <row r="59" spans="1:23" ht="12" customHeight="1" x14ac:dyDescent="0.2">
      <c r="A59" s="6"/>
      <c r="B59" s="6"/>
      <c r="C59" s="13"/>
      <c r="D59" s="19">
        <f t="shared" si="1"/>
        <v>48</v>
      </c>
      <c r="E59" s="71" t="str">
        <f>IF(OR('Services - WHC'!E57="",'Services - WHC'!E57="[Enter service]"),"",'Services - WHC'!E57)</f>
        <v/>
      </c>
      <c r="F59" s="72" t="str">
        <f>IF(OR('Services - WHC'!F57="",'Services - WHC'!F57="[Select]"),"",'Services - WHC'!F57)</f>
        <v/>
      </c>
      <c r="G59" s="15"/>
      <c r="H59" s="239"/>
      <c r="I59" s="239"/>
      <c r="J59" s="239"/>
      <c r="K59" s="239"/>
      <c r="L59" s="239"/>
      <c r="M59" s="239"/>
      <c r="N59" s="239"/>
      <c r="O59" s="239"/>
      <c r="P59" s="239"/>
      <c r="Q59" s="239"/>
      <c r="R59" s="239"/>
      <c r="S59" s="239"/>
      <c r="T59" s="240"/>
      <c r="U59" s="241"/>
      <c r="V59" s="425">
        <f t="shared" si="2"/>
        <v>0</v>
      </c>
      <c r="W59" s="17"/>
    </row>
    <row r="60" spans="1:23" ht="12" customHeight="1" x14ac:dyDescent="0.2">
      <c r="A60" s="6"/>
      <c r="B60" s="6"/>
      <c r="C60" s="13"/>
      <c r="D60" s="19">
        <f t="shared" si="1"/>
        <v>49</v>
      </c>
      <c r="E60" s="71" t="str">
        <f>IF(OR('Services - WHC'!E58="",'Services - WHC'!E58="[Enter service]"),"",'Services - WHC'!E58)</f>
        <v/>
      </c>
      <c r="F60" s="72" t="str">
        <f>IF(OR('Services - WHC'!F58="",'Services - WHC'!F58="[Select]"),"",'Services - WHC'!F58)</f>
        <v/>
      </c>
      <c r="G60" s="15"/>
      <c r="H60" s="239"/>
      <c r="I60" s="239"/>
      <c r="J60" s="239"/>
      <c r="K60" s="239"/>
      <c r="L60" s="239"/>
      <c r="M60" s="239"/>
      <c r="N60" s="239"/>
      <c r="O60" s="239"/>
      <c r="P60" s="239"/>
      <c r="Q60" s="239"/>
      <c r="R60" s="239"/>
      <c r="S60" s="239"/>
      <c r="T60" s="240"/>
      <c r="U60" s="241"/>
      <c r="V60" s="425">
        <f t="shared" si="2"/>
        <v>0</v>
      </c>
      <c r="W60" s="17"/>
    </row>
    <row r="61" spans="1:23" ht="12" customHeight="1" x14ac:dyDescent="0.2">
      <c r="A61" s="6"/>
      <c r="B61" s="6"/>
      <c r="C61" s="13"/>
      <c r="D61" s="19">
        <f t="shared" si="1"/>
        <v>50</v>
      </c>
      <c r="E61" s="71" t="str">
        <f>IF(OR('Services - WHC'!E59="",'Services - WHC'!E59="[Enter service]"),"",'Services - WHC'!E59)</f>
        <v/>
      </c>
      <c r="F61" s="72" t="str">
        <f>IF(OR('Services - WHC'!F59="",'Services - WHC'!F59="[Select]"),"",'Services - WHC'!F59)</f>
        <v/>
      </c>
      <c r="G61" s="15"/>
      <c r="H61" s="239"/>
      <c r="I61" s="239"/>
      <c r="J61" s="239"/>
      <c r="K61" s="239"/>
      <c r="L61" s="239"/>
      <c r="M61" s="239"/>
      <c r="N61" s="239"/>
      <c r="O61" s="239"/>
      <c r="P61" s="239"/>
      <c r="Q61" s="239"/>
      <c r="R61" s="239"/>
      <c r="S61" s="239"/>
      <c r="T61" s="240"/>
      <c r="U61" s="241"/>
      <c r="V61" s="425">
        <f t="shared" si="2"/>
        <v>0</v>
      </c>
      <c r="W61" s="17"/>
    </row>
    <row r="62" spans="1:23" ht="12" customHeight="1" x14ac:dyDescent="0.2">
      <c r="A62" s="6"/>
      <c r="B62" s="6"/>
      <c r="C62" s="13"/>
      <c r="D62" s="19">
        <f t="shared" si="1"/>
        <v>51</v>
      </c>
      <c r="E62" s="71" t="str">
        <f>IF(OR('Services - WHC'!E60="",'Services - WHC'!E60="[Enter service]"),"",'Services - WHC'!E60)</f>
        <v/>
      </c>
      <c r="F62" s="72" t="str">
        <f>IF(OR('Services - WHC'!F60="",'Services - WHC'!F60="[Select]"),"",'Services - WHC'!F60)</f>
        <v/>
      </c>
      <c r="G62" s="15"/>
      <c r="H62" s="239"/>
      <c r="I62" s="239"/>
      <c r="J62" s="239"/>
      <c r="K62" s="239"/>
      <c r="L62" s="239"/>
      <c r="M62" s="239"/>
      <c r="N62" s="239"/>
      <c r="O62" s="239"/>
      <c r="P62" s="239"/>
      <c r="Q62" s="239"/>
      <c r="R62" s="239"/>
      <c r="S62" s="239"/>
      <c r="T62" s="240"/>
      <c r="U62" s="241"/>
      <c r="V62" s="425">
        <f t="shared" si="2"/>
        <v>0</v>
      </c>
      <c r="W62" s="17"/>
    </row>
    <row r="63" spans="1:23" ht="12" customHeight="1" x14ac:dyDescent="0.2">
      <c r="A63" s="6"/>
      <c r="B63" s="6"/>
      <c r="C63" s="13"/>
      <c r="D63" s="19">
        <f t="shared" si="1"/>
        <v>52</v>
      </c>
      <c r="E63" s="71" t="str">
        <f>IF(OR('Services - WHC'!E61="",'Services - WHC'!E61="[Enter service]"),"",'Services - WHC'!E61)</f>
        <v/>
      </c>
      <c r="F63" s="72" t="str">
        <f>IF(OR('Services - WHC'!F61="",'Services - WHC'!F61="[Select]"),"",'Services - WHC'!F61)</f>
        <v/>
      </c>
      <c r="G63" s="15"/>
      <c r="H63" s="239"/>
      <c r="I63" s="239"/>
      <c r="J63" s="239"/>
      <c r="K63" s="239"/>
      <c r="L63" s="239"/>
      <c r="M63" s="239"/>
      <c r="N63" s="239"/>
      <c r="O63" s="239"/>
      <c r="P63" s="239"/>
      <c r="Q63" s="239"/>
      <c r="R63" s="239"/>
      <c r="S63" s="239"/>
      <c r="T63" s="240"/>
      <c r="U63" s="241"/>
      <c r="V63" s="425">
        <f t="shared" si="2"/>
        <v>0</v>
      </c>
      <c r="W63" s="17"/>
    </row>
    <row r="64" spans="1:23" ht="12" customHeight="1" x14ac:dyDescent="0.2">
      <c r="A64" s="6"/>
      <c r="B64" s="6"/>
      <c r="C64" s="13"/>
      <c r="D64" s="19">
        <f t="shared" si="1"/>
        <v>53</v>
      </c>
      <c r="E64" s="71" t="str">
        <f>IF(OR('Services - WHC'!E62="",'Services - WHC'!E62="[Enter service]"),"",'Services - WHC'!E62)</f>
        <v/>
      </c>
      <c r="F64" s="72" t="str">
        <f>IF(OR('Services - WHC'!F62="",'Services - WHC'!F62="[Select]"),"",'Services - WHC'!F62)</f>
        <v/>
      </c>
      <c r="G64" s="15"/>
      <c r="H64" s="239"/>
      <c r="I64" s="239"/>
      <c r="J64" s="239"/>
      <c r="K64" s="239"/>
      <c r="L64" s="239"/>
      <c r="M64" s="239"/>
      <c r="N64" s="239"/>
      <c r="O64" s="239"/>
      <c r="P64" s="239"/>
      <c r="Q64" s="239"/>
      <c r="R64" s="239"/>
      <c r="S64" s="239"/>
      <c r="T64" s="240"/>
      <c r="U64" s="241"/>
      <c r="V64" s="425">
        <f t="shared" si="2"/>
        <v>0</v>
      </c>
      <c r="W64" s="17"/>
    </row>
    <row r="65" spans="1:23" ht="12" customHeight="1" x14ac:dyDescent="0.2">
      <c r="A65" s="6"/>
      <c r="B65" s="6"/>
      <c r="C65" s="13"/>
      <c r="D65" s="19">
        <f t="shared" si="1"/>
        <v>54</v>
      </c>
      <c r="E65" s="71" t="str">
        <f>IF(OR('Services - WHC'!E63="",'Services - WHC'!E63="[Enter service]"),"",'Services - WHC'!E63)</f>
        <v/>
      </c>
      <c r="F65" s="72" t="str">
        <f>IF(OR('Services - WHC'!F63="",'Services - WHC'!F63="[Select]"),"",'Services - WHC'!F63)</f>
        <v/>
      </c>
      <c r="G65" s="15"/>
      <c r="H65" s="239"/>
      <c r="I65" s="239"/>
      <c r="J65" s="239"/>
      <c r="K65" s="239"/>
      <c r="L65" s="239"/>
      <c r="M65" s="239"/>
      <c r="N65" s="239"/>
      <c r="O65" s="239"/>
      <c r="P65" s="239"/>
      <c r="Q65" s="239"/>
      <c r="R65" s="239"/>
      <c r="S65" s="239"/>
      <c r="T65" s="240"/>
      <c r="U65" s="241"/>
      <c r="V65" s="425">
        <f t="shared" si="2"/>
        <v>0</v>
      </c>
      <c r="W65" s="17"/>
    </row>
    <row r="66" spans="1:23" ht="12" customHeight="1" x14ac:dyDescent="0.2">
      <c r="A66" s="6"/>
      <c r="B66" s="6"/>
      <c r="C66" s="13"/>
      <c r="D66" s="19">
        <f t="shared" si="1"/>
        <v>55</v>
      </c>
      <c r="E66" s="71" t="str">
        <f>IF(OR('Services - WHC'!E64="",'Services - WHC'!E64="[Enter service]"),"",'Services - WHC'!E64)</f>
        <v/>
      </c>
      <c r="F66" s="72" t="str">
        <f>IF(OR('Services - WHC'!F64="",'Services - WHC'!F64="[Select]"),"",'Services - WHC'!F64)</f>
        <v/>
      </c>
      <c r="G66" s="15"/>
      <c r="H66" s="239"/>
      <c r="I66" s="239"/>
      <c r="J66" s="239"/>
      <c r="K66" s="239"/>
      <c r="L66" s="239"/>
      <c r="M66" s="239"/>
      <c r="N66" s="239"/>
      <c r="O66" s="239"/>
      <c r="P66" s="239"/>
      <c r="Q66" s="239"/>
      <c r="R66" s="239"/>
      <c r="S66" s="239"/>
      <c r="T66" s="240"/>
      <c r="U66" s="241"/>
      <c r="V66" s="425">
        <f t="shared" si="2"/>
        <v>0</v>
      </c>
      <c r="W66" s="17"/>
    </row>
    <row r="67" spans="1:23" ht="12" customHeight="1" x14ac:dyDescent="0.2">
      <c r="A67" s="6"/>
      <c r="B67" s="6"/>
      <c r="C67" s="13"/>
      <c r="D67" s="19">
        <f t="shared" si="1"/>
        <v>56</v>
      </c>
      <c r="E67" s="71" t="str">
        <f>IF(OR('Services - WHC'!E65="",'Services - WHC'!E65="[Enter service]"),"",'Services - WHC'!E65)</f>
        <v/>
      </c>
      <c r="F67" s="72" t="str">
        <f>IF(OR('Services - WHC'!F65="",'Services - WHC'!F65="[Select]"),"",'Services - WHC'!F65)</f>
        <v/>
      </c>
      <c r="G67" s="15"/>
      <c r="H67" s="239"/>
      <c r="I67" s="239"/>
      <c r="J67" s="239"/>
      <c r="K67" s="239"/>
      <c r="L67" s="239"/>
      <c r="M67" s="239"/>
      <c r="N67" s="239"/>
      <c r="O67" s="239"/>
      <c r="P67" s="239"/>
      <c r="Q67" s="239"/>
      <c r="R67" s="239"/>
      <c r="S67" s="239"/>
      <c r="T67" s="240"/>
      <c r="U67" s="241"/>
      <c r="V67" s="425">
        <f t="shared" si="2"/>
        <v>0</v>
      </c>
      <c r="W67" s="17"/>
    </row>
    <row r="68" spans="1:23" ht="12" customHeight="1" x14ac:dyDescent="0.2">
      <c r="A68" s="6"/>
      <c r="B68" s="6"/>
      <c r="C68" s="13"/>
      <c r="D68" s="19">
        <f t="shared" si="1"/>
        <v>57</v>
      </c>
      <c r="E68" s="71" t="str">
        <f>IF(OR('Services - WHC'!E66="",'Services - WHC'!E66="[Enter service]"),"",'Services - WHC'!E66)</f>
        <v/>
      </c>
      <c r="F68" s="72" t="str">
        <f>IF(OR('Services - WHC'!F66="",'Services - WHC'!F66="[Select]"),"",'Services - WHC'!F66)</f>
        <v/>
      </c>
      <c r="G68" s="15"/>
      <c r="H68" s="239"/>
      <c r="I68" s="239"/>
      <c r="J68" s="239"/>
      <c r="K68" s="239"/>
      <c r="L68" s="239"/>
      <c r="M68" s="239"/>
      <c r="N68" s="239"/>
      <c r="O68" s="239"/>
      <c r="P68" s="239"/>
      <c r="Q68" s="239"/>
      <c r="R68" s="239"/>
      <c r="S68" s="239"/>
      <c r="T68" s="240"/>
      <c r="U68" s="241"/>
      <c r="V68" s="425">
        <f t="shared" si="2"/>
        <v>0</v>
      </c>
      <c r="W68" s="17"/>
    </row>
    <row r="69" spans="1:23" ht="12" customHeight="1" x14ac:dyDescent="0.2">
      <c r="A69" s="6"/>
      <c r="B69" s="6"/>
      <c r="C69" s="13"/>
      <c r="D69" s="19">
        <f t="shared" si="1"/>
        <v>58</v>
      </c>
      <c r="E69" s="71" t="str">
        <f>IF(OR('Services - WHC'!E67="",'Services - WHC'!E67="[Enter service]"),"",'Services - WHC'!E67)</f>
        <v/>
      </c>
      <c r="F69" s="72" t="str">
        <f>IF(OR('Services - WHC'!F67="",'Services - WHC'!F67="[Select]"),"",'Services - WHC'!F67)</f>
        <v/>
      </c>
      <c r="G69" s="15"/>
      <c r="H69" s="239"/>
      <c r="I69" s="239"/>
      <c r="J69" s="239"/>
      <c r="K69" s="239"/>
      <c r="L69" s="239"/>
      <c r="M69" s="239"/>
      <c r="N69" s="239"/>
      <c r="O69" s="239"/>
      <c r="P69" s="239"/>
      <c r="Q69" s="239"/>
      <c r="R69" s="239"/>
      <c r="S69" s="239"/>
      <c r="T69" s="240"/>
      <c r="U69" s="241"/>
      <c r="V69" s="425">
        <f t="shared" si="2"/>
        <v>0</v>
      </c>
      <c r="W69" s="17"/>
    </row>
    <row r="70" spans="1:23" ht="12" customHeight="1" x14ac:dyDescent="0.2">
      <c r="A70" s="6"/>
      <c r="B70" s="6"/>
      <c r="C70" s="13"/>
      <c r="D70" s="19">
        <f t="shared" si="1"/>
        <v>59</v>
      </c>
      <c r="E70" s="71" t="str">
        <f>IF(OR('Services - WHC'!E68="",'Services - WHC'!E68="[Enter service]"),"",'Services - WHC'!E68)</f>
        <v/>
      </c>
      <c r="F70" s="72" t="str">
        <f>IF(OR('Services - WHC'!F68="",'Services - WHC'!F68="[Select]"),"",'Services - WHC'!F68)</f>
        <v/>
      </c>
      <c r="G70" s="15"/>
      <c r="H70" s="239"/>
      <c r="I70" s="239"/>
      <c r="J70" s="239"/>
      <c r="K70" s="239"/>
      <c r="L70" s="239"/>
      <c r="M70" s="239"/>
      <c r="N70" s="239"/>
      <c r="O70" s="239"/>
      <c r="P70" s="239"/>
      <c r="Q70" s="239"/>
      <c r="R70" s="239"/>
      <c r="S70" s="239"/>
      <c r="T70" s="240"/>
      <c r="U70" s="241"/>
      <c r="V70" s="425">
        <f t="shared" si="2"/>
        <v>0</v>
      </c>
      <c r="W70" s="17"/>
    </row>
    <row r="71" spans="1:23" ht="12" customHeight="1" x14ac:dyDescent="0.2">
      <c r="A71" s="6"/>
      <c r="B71" s="6"/>
      <c r="C71" s="13"/>
      <c r="D71" s="19">
        <f t="shared" si="1"/>
        <v>60</v>
      </c>
      <c r="E71" s="71" t="str">
        <f>IF(OR('Services - WHC'!E69="",'Services - WHC'!E69="[Enter service]"),"",'Services - WHC'!E69)</f>
        <v/>
      </c>
      <c r="F71" s="72" t="str">
        <f>IF(OR('Services - WHC'!F69="",'Services - WHC'!F69="[Select]"),"",'Services - WHC'!F69)</f>
        <v/>
      </c>
      <c r="G71" s="15"/>
      <c r="H71" s="239"/>
      <c r="I71" s="239"/>
      <c r="J71" s="239"/>
      <c r="K71" s="239"/>
      <c r="L71" s="239"/>
      <c r="M71" s="239"/>
      <c r="N71" s="239"/>
      <c r="O71" s="239"/>
      <c r="P71" s="239"/>
      <c r="Q71" s="239"/>
      <c r="R71" s="239"/>
      <c r="S71" s="239"/>
      <c r="T71" s="240"/>
      <c r="U71" s="241"/>
      <c r="V71" s="425">
        <f t="shared" si="2"/>
        <v>0</v>
      </c>
      <c r="W71" s="17"/>
    </row>
    <row r="72" spans="1:23" ht="12" customHeight="1" x14ac:dyDescent="0.2">
      <c r="A72" s="6"/>
      <c r="B72" s="6"/>
      <c r="C72" s="13"/>
      <c r="D72" s="19">
        <f t="shared" si="1"/>
        <v>61</v>
      </c>
      <c r="E72" s="71" t="str">
        <f>IF(OR('Services - WHC'!E70="",'Services - WHC'!E70="[Enter service]"),"",'Services - WHC'!E70)</f>
        <v/>
      </c>
      <c r="F72" s="72" t="str">
        <f>IF(OR('Services - WHC'!F70="",'Services - WHC'!F70="[Select]"),"",'Services - WHC'!F70)</f>
        <v/>
      </c>
      <c r="G72" s="15"/>
      <c r="H72" s="239"/>
      <c r="I72" s="239"/>
      <c r="J72" s="239"/>
      <c r="K72" s="239"/>
      <c r="L72" s="239"/>
      <c r="M72" s="239"/>
      <c r="N72" s="239"/>
      <c r="O72" s="239"/>
      <c r="P72" s="239"/>
      <c r="Q72" s="239"/>
      <c r="R72" s="239"/>
      <c r="S72" s="239"/>
      <c r="T72" s="240"/>
      <c r="U72" s="241"/>
      <c r="V72" s="425">
        <f t="shared" si="2"/>
        <v>0</v>
      </c>
      <c r="W72" s="17"/>
    </row>
    <row r="73" spans="1:23" ht="12" customHeight="1" x14ac:dyDescent="0.2">
      <c r="A73" s="6"/>
      <c r="B73" s="6"/>
      <c r="C73" s="13"/>
      <c r="D73" s="19">
        <f t="shared" si="1"/>
        <v>62</v>
      </c>
      <c r="E73" s="71" t="str">
        <f>IF(OR('Services - WHC'!E71="",'Services - WHC'!E71="[Enter service]"),"",'Services - WHC'!E71)</f>
        <v/>
      </c>
      <c r="F73" s="72" t="str">
        <f>IF(OR('Services - WHC'!F71="",'Services - WHC'!F71="[Select]"),"",'Services - WHC'!F71)</f>
        <v/>
      </c>
      <c r="G73" s="15"/>
      <c r="H73" s="239"/>
      <c r="I73" s="239"/>
      <c r="J73" s="239"/>
      <c r="K73" s="239"/>
      <c r="L73" s="239"/>
      <c r="M73" s="239"/>
      <c r="N73" s="239"/>
      <c r="O73" s="239"/>
      <c r="P73" s="239"/>
      <c r="Q73" s="239"/>
      <c r="R73" s="239"/>
      <c r="S73" s="239"/>
      <c r="T73" s="240"/>
      <c r="U73" s="241"/>
      <c r="V73" s="425">
        <f t="shared" si="2"/>
        <v>0</v>
      </c>
      <c r="W73" s="17"/>
    </row>
    <row r="74" spans="1:23" ht="12" customHeight="1" x14ac:dyDescent="0.2">
      <c r="A74" s="6"/>
      <c r="B74" s="6"/>
      <c r="C74" s="13"/>
      <c r="D74" s="19">
        <f t="shared" si="1"/>
        <v>63</v>
      </c>
      <c r="E74" s="71" t="str">
        <f>IF(OR('Services - WHC'!E72="",'Services - WHC'!E72="[Enter service]"),"",'Services - WHC'!E72)</f>
        <v/>
      </c>
      <c r="F74" s="72" t="str">
        <f>IF(OR('Services - WHC'!F72="",'Services - WHC'!F72="[Select]"),"",'Services - WHC'!F72)</f>
        <v/>
      </c>
      <c r="G74" s="15"/>
      <c r="H74" s="239"/>
      <c r="I74" s="239"/>
      <c r="J74" s="239"/>
      <c r="K74" s="239"/>
      <c r="L74" s="239"/>
      <c r="M74" s="239"/>
      <c r="N74" s="239"/>
      <c r="O74" s="239"/>
      <c r="P74" s="239"/>
      <c r="Q74" s="239"/>
      <c r="R74" s="239"/>
      <c r="S74" s="239"/>
      <c r="T74" s="240"/>
      <c r="U74" s="241"/>
      <c r="V74" s="425">
        <f t="shared" si="2"/>
        <v>0</v>
      </c>
      <c r="W74" s="17"/>
    </row>
    <row r="75" spans="1:23" ht="12" customHeight="1" x14ac:dyDescent="0.2">
      <c r="A75" s="6"/>
      <c r="B75" s="6"/>
      <c r="C75" s="13"/>
      <c r="D75" s="19">
        <f t="shared" si="1"/>
        <v>64</v>
      </c>
      <c r="E75" s="71" t="str">
        <f>IF(OR('Services - WHC'!E73="",'Services - WHC'!E73="[Enter service]"),"",'Services - WHC'!E73)</f>
        <v/>
      </c>
      <c r="F75" s="72" t="str">
        <f>IF(OR('Services - WHC'!F73="",'Services - WHC'!F73="[Select]"),"",'Services - WHC'!F73)</f>
        <v/>
      </c>
      <c r="G75" s="15"/>
      <c r="H75" s="239"/>
      <c r="I75" s="239"/>
      <c r="J75" s="239"/>
      <c r="K75" s="239"/>
      <c r="L75" s="239"/>
      <c r="M75" s="239"/>
      <c r="N75" s="239"/>
      <c r="O75" s="239"/>
      <c r="P75" s="239"/>
      <c r="Q75" s="239"/>
      <c r="R75" s="239"/>
      <c r="S75" s="239"/>
      <c r="T75" s="240"/>
      <c r="U75" s="241"/>
      <c r="V75" s="425">
        <f t="shared" si="2"/>
        <v>0</v>
      </c>
      <c r="W75" s="17"/>
    </row>
    <row r="76" spans="1:23" ht="12" customHeight="1" x14ac:dyDescent="0.2">
      <c r="A76" s="6"/>
      <c r="B76" s="6"/>
      <c r="C76" s="13"/>
      <c r="D76" s="19">
        <f t="shared" si="1"/>
        <v>65</v>
      </c>
      <c r="E76" s="71" t="str">
        <f>IF(OR('Services - WHC'!E74="",'Services - WHC'!E74="[Enter service]"),"",'Services - WHC'!E74)</f>
        <v/>
      </c>
      <c r="F76" s="72" t="str">
        <f>IF(OR('Services - WHC'!F74="",'Services - WHC'!F74="[Select]"),"",'Services - WHC'!F74)</f>
        <v/>
      </c>
      <c r="G76" s="15"/>
      <c r="H76" s="239"/>
      <c r="I76" s="239"/>
      <c r="J76" s="239"/>
      <c r="K76" s="239"/>
      <c r="L76" s="239"/>
      <c r="M76" s="239"/>
      <c r="N76" s="239"/>
      <c r="O76" s="239"/>
      <c r="P76" s="239"/>
      <c r="Q76" s="239"/>
      <c r="R76" s="239"/>
      <c r="S76" s="239"/>
      <c r="T76" s="240"/>
      <c r="U76" s="241"/>
      <c r="V76" s="425">
        <f t="shared" ref="V76:V107" si="3">SUM(H76:U76)</f>
        <v>0</v>
      </c>
      <c r="W76" s="17"/>
    </row>
    <row r="77" spans="1:23" ht="12" customHeight="1" x14ac:dyDescent="0.2">
      <c r="A77" s="6"/>
      <c r="B77" s="6"/>
      <c r="C77" s="13"/>
      <c r="D77" s="19">
        <f t="shared" si="1"/>
        <v>66</v>
      </c>
      <c r="E77" s="71" t="str">
        <f>IF(OR('Services - WHC'!E75="",'Services - WHC'!E75="[Enter service]"),"",'Services - WHC'!E75)</f>
        <v/>
      </c>
      <c r="F77" s="72" t="str">
        <f>IF(OR('Services - WHC'!F75="",'Services - WHC'!F75="[Select]"),"",'Services - WHC'!F75)</f>
        <v/>
      </c>
      <c r="G77" s="15"/>
      <c r="H77" s="239"/>
      <c r="I77" s="239"/>
      <c r="J77" s="239"/>
      <c r="K77" s="239"/>
      <c r="L77" s="239"/>
      <c r="M77" s="239"/>
      <c r="N77" s="239"/>
      <c r="O77" s="239"/>
      <c r="P77" s="239"/>
      <c r="Q77" s="239"/>
      <c r="R77" s="239"/>
      <c r="S77" s="239"/>
      <c r="T77" s="240"/>
      <c r="U77" s="241"/>
      <c r="V77" s="425">
        <f t="shared" si="3"/>
        <v>0</v>
      </c>
      <c r="W77" s="17"/>
    </row>
    <row r="78" spans="1:23" ht="12" customHeight="1" x14ac:dyDescent="0.2">
      <c r="A78" s="6"/>
      <c r="B78" s="6"/>
      <c r="C78" s="13"/>
      <c r="D78" s="19">
        <f t="shared" ref="D78:D141" si="4">D77+1</f>
        <v>67</v>
      </c>
      <c r="E78" s="71" t="str">
        <f>IF(OR('Services - WHC'!E76="",'Services - WHC'!E76="[Enter service]"),"",'Services - WHC'!E76)</f>
        <v/>
      </c>
      <c r="F78" s="72" t="str">
        <f>IF(OR('Services - WHC'!F76="",'Services - WHC'!F76="[Select]"),"",'Services - WHC'!F76)</f>
        <v/>
      </c>
      <c r="G78" s="15"/>
      <c r="H78" s="239"/>
      <c r="I78" s="239"/>
      <c r="J78" s="239"/>
      <c r="K78" s="239"/>
      <c r="L78" s="239"/>
      <c r="M78" s="239"/>
      <c r="N78" s="239"/>
      <c r="O78" s="239"/>
      <c r="P78" s="239"/>
      <c r="Q78" s="239"/>
      <c r="R78" s="239"/>
      <c r="S78" s="239"/>
      <c r="T78" s="240"/>
      <c r="U78" s="241"/>
      <c r="V78" s="425">
        <f t="shared" si="3"/>
        <v>0</v>
      </c>
      <c r="W78" s="17"/>
    </row>
    <row r="79" spans="1:23" ht="12" customHeight="1" x14ac:dyDescent="0.2">
      <c r="A79" s="6"/>
      <c r="B79" s="6"/>
      <c r="C79" s="13"/>
      <c r="D79" s="19">
        <f t="shared" si="4"/>
        <v>68</v>
      </c>
      <c r="E79" s="71" t="str">
        <f>IF(OR('Services - WHC'!E77="",'Services - WHC'!E77="[Enter service]"),"",'Services - WHC'!E77)</f>
        <v/>
      </c>
      <c r="F79" s="72" t="str">
        <f>IF(OR('Services - WHC'!F77="",'Services - WHC'!F77="[Select]"),"",'Services - WHC'!F77)</f>
        <v/>
      </c>
      <c r="G79" s="15"/>
      <c r="H79" s="239"/>
      <c r="I79" s="239"/>
      <c r="J79" s="239"/>
      <c r="K79" s="239"/>
      <c r="L79" s="239"/>
      <c r="M79" s="239"/>
      <c r="N79" s="239"/>
      <c r="O79" s="239"/>
      <c r="P79" s="239"/>
      <c r="Q79" s="239"/>
      <c r="R79" s="239"/>
      <c r="S79" s="239"/>
      <c r="T79" s="240"/>
      <c r="U79" s="241"/>
      <c r="V79" s="425">
        <f t="shared" si="3"/>
        <v>0</v>
      </c>
      <c r="W79" s="17"/>
    </row>
    <row r="80" spans="1:23" ht="12" customHeight="1" x14ac:dyDescent="0.2">
      <c r="A80" s="6"/>
      <c r="B80" s="6"/>
      <c r="C80" s="13"/>
      <c r="D80" s="19">
        <f t="shared" si="4"/>
        <v>69</v>
      </c>
      <c r="E80" s="71" t="str">
        <f>IF(OR('Services - WHC'!E78="",'Services - WHC'!E78="[Enter service]"),"",'Services - WHC'!E78)</f>
        <v/>
      </c>
      <c r="F80" s="72" t="str">
        <f>IF(OR('Services - WHC'!F78="",'Services - WHC'!F78="[Select]"),"",'Services - WHC'!F78)</f>
        <v/>
      </c>
      <c r="G80" s="15"/>
      <c r="H80" s="239"/>
      <c r="I80" s="239"/>
      <c r="J80" s="239"/>
      <c r="K80" s="239"/>
      <c r="L80" s="239"/>
      <c r="M80" s="239"/>
      <c r="N80" s="239"/>
      <c r="O80" s="239"/>
      <c r="P80" s="239"/>
      <c r="Q80" s="239"/>
      <c r="R80" s="239"/>
      <c r="S80" s="239"/>
      <c r="T80" s="240"/>
      <c r="U80" s="241"/>
      <c r="V80" s="425">
        <f t="shared" si="3"/>
        <v>0</v>
      </c>
      <c r="W80" s="17"/>
    </row>
    <row r="81" spans="1:23" ht="12" customHeight="1" x14ac:dyDescent="0.2">
      <c r="A81" s="6"/>
      <c r="B81" s="6"/>
      <c r="C81" s="13"/>
      <c r="D81" s="19">
        <f t="shared" si="4"/>
        <v>70</v>
      </c>
      <c r="E81" s="71" t="str">
        <f>IF(OR('Services - WHC'!E79="",'Services - WHC'!E79="[Enter service]"),"",'Services - WHC'!E79)</f>
        <v/>
      </c>
      <c r="F81" s="72" t="str">
        <f>IF(OR('Services - WHC'!F79="",'Services - WHC'!F79="[Select]"),"",'Services - WHC'!F79)</f>
        <v/>
      </c>
      <c r="G81" s="15"/>
      <c r="H81" s="239"/>
      <c r="I81" s="239"/>
      <c r="J81" s="239"/>
      <c r="K81" s="239"/>
      <c r="L81" s="239"/>
      <c r="M81" s="239"/>
      <c r="N81" s="239"/>
      <c r="O81" s="239"/>
      <c r="P81" s="239"/>
      <c r="Q81" s="239"/>
      <c r="R81" s="239"/>
      <c r="S81" s="239"/>
      <c r="T81" s="240"/>
      <c r="U81" s="241"/>
      <c r="V81" s="425">
        <f t="shared" si="3"/>
        <v>0</v>
      </c>
      <c r="W81" s="17"/>
    </row>
    <row r="82" spans="1:23" ht="12" customHeight="1" x14ac:dyDescent="0.2">
      <c r="A82" s="6"/>
      <c r="B82" s="6"/>
      <c r="C82" s="13"/>
      <c r="D82" s="19">
        <f t="shared" si="4"/>
        <v>71</v>
      </c>
      <c r="E82" s="71" t="str">
        <f>IF(OR('Services - WHC'!E80="",'Services - WHC'!E80="[Enter service]"),"",'Services - WHC'!E80)</f>
        <v/>
      </c>
      <c r="F82" s="72" t="str">
        <f>IF(OR('Services - WHC'!F80="",'Services - WHC'!F80="[Select]"),"",'Services - WHC'!F80)</f>
        <v/>
      </c>
      <c r="G82" s="15"/>
      <c r="H82" s="239"/>
      <c r="I82" s="239"/>
      <c r="J82" s="239"/>
      <c r="K82" s="239"/>
      <c r="L82" s="239"/>
      <c r="M82" s="239"/>
      <c r="N82" s="239"/>
      <c r="O82" s="239"/>
      <c r="P82" s="239"/>
      <c r="Q82" s="239"/>
      <c r="R82" s="239"/>
      <c r="S82" s="239"/>
      <c r="T82" s="240"/>
      <c r="U82" s="241"/>
      <c r="V82" s="425">
        <f t="shared" si="3"/>
        <v>0</v>
      </c>
      <c r="W82" s="17"/>
    </row>
    <row r="83" spans="1:23" ht="12" customHeight="1" x14ac:dyDescent="0.2">
      <c r="A83" s="6"/>
      <c r="B83" s="6"/>
      <c r="C83" s="13"/>
      <c r="D83" s="19">
        <f t="shared" si="4"/>
        <v>72</v>
      </c>
      <c r="E83" s="71" t="str">
        <f>IF(OR('Services - WHC'!E81="",'Services - WHC'!E81="[Enter service]"),"",'Services - WHC'!E81)</f>
        <v/>
      </c>
      <c r="F83" s="72" t="str">
        <f>IF(OR('Services - WHC'!F81="",'Services - WHC'!F81="[Select]"),"",'Services - WHC'!F81)</f>
        <v/>
      </c>
      <c r="G83" s="15"/>
      <c r="H83" s="239"/>
      <c r="I83" s="239"/>
      <c r="J83" s="239"/>
      <c r="K83" s="239"/>
      <c r="L83" s="239"/>
      <c r="M83" s="239"/>
      <c r="N83" s="239"/>
      <c r="O83" s="239"/>
      <c r="P83" s="239"/>
      <c r="Q83" s="239"/>
      <c r="R83" s="239"/>
      <c r="S83" s="239"/>
      <c r="T83" s="240"/>
      <c r="U83" s="241"/>
      <c r="V83" s="425">
        <f t="shared" si="3"/>
        <v>0</v>
      </c>
      <c r="W83" s="17"/>
    </row>
    <row r="84" spans="1:23" ht="12" customHeight="1" x14ac:dyDescent="0.2">
      <c r="A84" s="6"/>
      <c r="B84" s="6"/>
      <c r="C84" s="13"/>
      <c r="D84" s="19">
        <f t="shared" si="4"/>
        <v>73</v>
      </c>
      <c r="E84" s="71" t="str">
        <f>IF(OR('Services - WHC'!E82="",'Services - WHC'!E82="[Enter service]"),"",'Services - WHC'!E82)</f>
        <v/>
      </c>
      <c r="F84" s="72" t="str">
        <f>IF(OR('Services - WHC'!F82="",'Services - WHC'!F82="[Select]"),"",'Services - WHC'!F82)</f>
        <v/>
      </c>
      <c r="G84" s="15"/>
      <c r="H84" s="239"/>
      <c r="I84" s="239"/>
      <c r="J84" s="239"/>
      <c r="K84" s="239"/>
      <c r="L84" s="239"/>
      <c r="M84" s="239"/>
      <c r="N84" s="239"/>
      <c r="O84" s="239"/>
      <c r="P84" s="239"/>
      <c r="Q84" s="239"/>
      <c r="R84" s="239"/>
      <c r="S84" s="239"/>
      <c r="T84" s="240"/>
      <c r="U84" s="241"/>
      <c r="V84" s="425">
        <f t="shared" si="3"/>
        <v>0</v>
      </c>
      <c r="W84" s="17"/>
    </row>
    <row r="85" spans="1:23" ht="12" customHeight="1" x14ac:dyDescent="0.2">
      <c r="A85" s="6"/>
      <c r="B85" s="6"/>
      <c r="C85" s="13"/>
      <c r="D85" s="19">
        <f t="shared" si="4"/>
        <v>74</v>
      </c>
      <c r="E85" s="71" t="str">
        <f>IF(OR('Services - WHC'!E83="",'Services - WHC'!E83="[Enter service]"),"",'Services - WHC'!E83)</f>
        <v/>
      </c>
      <c r="F85" s="72" t="str">
        <f>IF(OR('Services - WHC'!F83="",'Services - WHC'!F83="[Select]"),"",'Services - WHC'!F83)</f>
        <v/>
      </c>
      <c r="G85" s="15"/>
      <c r="H85" s="239"/>
      <c r="I85" s="239"/>
      <c r="J85" s="239"/>
      <c r="K85" s="239"/>
      <c r="L85" s="239"/>
      <c r="M85" s="239"/>
      <c r="N85" s="239"/>
      <c r="O85" s="239"/>
      <c r="P85" s="239"/>
      <c r="Q85" s="239"/>
      <c r="R85" s="239"/>
      <c r="S85" s="239"/>
      <c r="T85" s="240"/>
      <c r="U85" s="241"/>
      <c r="V85" s="425">
        <f t="shared" si="3"/>
        <v>0</v>
      </c>
      <c r="W85" s="17"/>
    </row>
    <row r="86" spans="1:23" ht="12" customHeight="1" x14ac:dyDescent="0.2">
      <c r="A86" s="6"/>
      <c r="B86" s="6"/>
      <c r="C86" s="13"/>
      <c r="D86" s="19">
        <f t="shared" si="4"/>
        <v>75</v>
      </c>
      <c r="E86" s="71" t="str">
        <f>IF(OR('Services - WHC'!E84="",'Services - WHC'!E84="[Enter service]"),"",'Services - WHC'!E84)</f>
        <v/>
      </c>
      <c r="F86" s="72" t="str">
        <f>IF(OR('Services - WHC'!F84="",'Services - WHC'!F84="[Select]"),"",'Services - WHC'!F84)</f>
        <v/>
      </c>
      <c r="G86" s="15"/>
      <c r="H86" s="239"/>
      <c r="I86" s="239"/>
      <c r="J86" s="239"/>
      <c r="K86" s="239"/>
      <c r="L86" s="239"/>
      <c r="M86" s="239"/>
      <c r="N86" s="239"/>
      <c r="O86" s="239"/>
      <c r="P86" s="239"/>
      <c r="Q86" s="239"/>
      <c r="R86" s="239"/>
      <c r="S86" s="239"/>
      <c r="T86" s="240"/>
      <c r="U86" s="241"/>
      <c r="V86" s="425">
        <f t="shared" si="3"/>
        <v>0</v>
      </c>
      <c r="W86" s="17"/>
    </row>
    <row r="87" spans="1:23" ht="12" customHeight="1" x14ac:dyDescent="0.2">
      <c r="A87" s="6"/>
      <c r="B87" s="6"/>
      <c r="C87" s="13"/>
      <c r="D87" s="19">
        <f t="shared" si="4"/>
        <v>76</v>
      </c>
      <c r="E87" s="71" t="str">
        <f>IF(OR('Services - WHC'!E85="",'Services - WHC'!E85="[Enter service]"),"",'Services - WHC'!E85)</f>
        <v/>
      </c>
      <c r="F87" s="72" t="str">
        <f>IF(OR('Services - WHC'!F85="",'Services - WHC'!F85="[Select]"),"",'Services - WHC'!F85)</f>
        <v/>
      </c>
      <c r="G87" s="15"/>
      <c r="H87" s="239"/>
      <c r="I87" s="239"/>
      <c r="J87" s="239"/>
      <c r="K87" s="239"/>
      <c r="L87" s="239"/>
      <c r="M87" s="239"/>
      <c r="N87" s="239"/>
      <c r="O87" s="239"/>
      <c r="P87" s="239"/>
      <c r="Q87" s="239"/>
      <c r="R87" s="239"/>
      <c r="S87" s="239"/>
      <c r="T87" s="240"/>
      <c r="U87" s="241"/>
      <c r="V87" s="425">
        <f t="shared" si="3"/>
        <v>0</v>
      </c>
      <c r="W87" s="17"/>
    </row>
    <row r="88" spans="1:23" ht="12" customHeight="1" x14ac:dyDescent="0.2">
      <c r="A88" s="6"/>
      <c r="B88" s="6"/>
      <c r="C88" s="13"/>
      <c r="D88" s="19">
        <f t="shared" si="4"/>
        <v>77</v>
      </c>
      <c r="E88" s="71" t="str">
        <f>IF(OR('Services - WHC'!E86="",'Services - WHC'!E86="[Enter service]"),"",'Services - WHC'!E86)</f>
        <v/>
      </c>
      <c r="F88" s="72" t="str">
        <f>IF(OR('Services - WHC'!F86="",'Services - WHC'!F86="[Select]"),"",'Services - WHC'!F86)</f>
        <v/>
      </c>
      <c r="G88" s="15"/>
      <c r="H88" s="239"/>
      <c r="I88" s="239"/>
      <c r="J88" s="239"/>
      <c r="K88" s="239"/>
      <c r="L88" s="239"/>
      <c r="M88" s="239"/>
      <c r="N88" s="239"/>
      <c r="O88" s="239"/>
      <c r="P88" s="239"/>
      <c r="Q88" s="239"/>
      <c r="R88" s="239"/>
      <c r="S88" s="239"/>
      <c r="T88" s="240"/>
      <c r="U88" s="241"/>
      <c r="V88" s="425">
        <f t="shared" si="3"/>
        <v>0</v>
      </c>
      <c r="W88" s="17"/>
    </row>
    <row r="89" spans="1:23" ht="12" customHeight="1" x14ac:dyDescent="0.2">
      <c r="A89" s="6"/>
      <c r="B89" s="6"/>
      <c r="C89" s="13"/>
      <c r="D89" s="19">
        <f t="shared" si="4"/>
        <v>78</v>
      </c>
      <c r="E89" s="71" t="str">
        <f>IF(OR('Services - WHC'!E87="",'Services - WHC'!E87="[Enter service]"),"",'Services - WHC'!E87)</f>
        <v/>
      </c>
      <c r="F89" s="72" t="str">
        <f>IF(OR('Services - WHC'!F87="",'Services - WHC'!F87="[Select]"),"",'Services - WHC'!F87)</f>
        <v/>
      </c>
      <c r="G89" s="15"/>
      <c r="H89" s="239"/>
      <c r="I89" s="239"/>
      <c r="J89" s="239"/>
      <c r="K89" s="239"/>
      <c r="L89" s="239"/>
      <c r="M89" s="239"/>
      <c r="N89" s="239"/>
      <c r="O89" s="239"/>
      <c r="P89" s="239"/>
      <c r="Q89" s="239"/>
      <c r="R89" s="239"/>
      <c r="S89" s="239"/>
      <c r="T89" s="240"/>
      <c r="U89" s="241"/>
      <c r="V89" s="425">
        <f t="shared" si="3"/>
        <v>0</v>
      </c>
      <c r="W89" s="17"/>
    </row>
    <row r="90" spans="1:23" ht="12" customHeight="1" x14ac:dyDescent="0.2">
      <c r="A90" s="6"/>
      <c r="B90" s="6"/>
      <c r="C90" s="13"/>
      <c r="D90" s="19">
        <f t="shared" si="4"/>
        <v>79</v>
      </c>
      <c r="E90" s="71" t="str">
        <f>IF(OR('Services - WHC'!E88="",'Services - WHC'!E88="[Enter service]"),"",'Services - WHC'!E88)</f>
        <v/>
      </c>
      <c r="F90" s="72" t="str">
        <f>IF(OR('Services - WHC'!F88="",'Services - WHC'!F88="[Select]"),"",'Services - WHC'!F88)</f>
        <v/>
      </c>
      <c r="G90" s="15"/>
      <c r="H90" s="239"/>
      <c r="I90" s="239"/>
      <c r="J90" s="239"/>
      <c r="K90" s="239"/>
      <c r="L90" s="239"/>
      <c r="M90" s="239"/>
      <c r="N90" s="239"/>
      <c r="O90" s="239"/>
      <c r="P90" s="239"/>
      <c r="Q90" s="239"/>
      <c r="R90" s="239"/>
      <c r="S90" s="239"/>
      <c r="T90" s="240"/>
      <c r="U90" s="241"/>
      <c r="V90" s="425">
        <f t="shared" si="3"/>
        <v>0</v>
      </c>
      <c r="W90" s="17"/>
    </row>
    <row r="91" spans="1:23" ht="12" customHeight="1" x14ac:dyDescent="0.2">
      <c r="A91" s="6"/>
      <c r="B91" s="6"/>
      <c r="C91" s="13"/>
      <c r="D91" s="19">
        <f t="shared" si="4"/>
        <v>80</v>
      </c>
      <c r="E91" s="71" t="str">
        <f>IF(OR('Services - WHC'!E89="",'Services - WHC'!E89="[Enter service]"),"",'Services - WHC'!E89)</f>
        <v/>
      </c>
      <c r="F91" s="72" t="str">
        <f>IF(OR('Services - WHC'!F89="",'Services - WHC'!F89="[Select]"),"",'Services - WHC'!F89)</f>
        <v/>
      </c>
      <c r="G91" s="15"/>
      <c r="H91" s="239"/>
      <c r="I91" s="239"/>
      <c r="J91" s="239"/>
      <c r="K91" s="239"/>
      <c r="L91" s="239"/>
      <c r="M91" s="239"/>
      <c r="N91" s="239"/>
      <c r="O91" s="239"/>
      <c r="P91" s="239"/>
      <c r="Q91" s="239"/>
      <c r="R91" s="239"/>
      <c r="S91" s="239"/>
      <c r="T91" s="240"/>
      <c r="U91" s="241"/>
      <c r="V91" s="425">
        <f t="shared" si="3"/>
        <v>0</v>
      </c>
      <c r="W91" s="17"/>
    </row>
    <row r="92" spans="1:23" ht="12" customHeight="1" x14ac:dyDescent="0.2">
      <c r="A92" s="6"/>
      <c r="B92" s="6"/>
      <c r="C92" s="13"/>
      <c r="D92" s="19">
        <f t="shared" si="4"/>
        <v>81</v>
      </c>
      <c r="E92" s="71" t="str">
        <f>IF(OR('Services - WHC'!E90="",'Services - WHC'!E90="[Enter service]"),"",'Services - WHC'!E90)</f>
        <v/>
      </c>
      <c r="F92" s="72" t="str">
        <f>IF(OR('Services - WHC'!F90="",'Services - WHC'!F90="[Select]"),"",'Services - WHC'!F90)</f>
        <v/>
      </c>
      <c r="G92" s="15"/>
      <c r="H92" s="239"/>
      <c r="I92" s="239"/>
      <c r="J92" s="239"/>
      <c r="K92" s="239"/>
      <c r="L92" s="239"/>
      <c r="M92" s="239"/>
      <c r="N92" s="239"/>
      <c r="O92" s="239"/>
      <c r="P92" s="239"/>
      <c r="Q92" s="239"/>
      <c r="R92" s="239"/>
      <c r="S92" s="239"/>
      <c r="T92" s="240"/>
      <c r="U92" s="241"/>
      <c r="V92" s="425">
        <f t="shared" si="3"/>
        <v>0</v>
      </c>
      <c r="W92" s="17"/>
    </row>
    <row r="93" spans="1:23" ht="12" customHeight="1" x14ac:dyDescent="0.2">
      <c r="A93" s="6"/>
      <c r="B93" s="6"/>
      <c r="C93" s="13"/>
      <c r="D93" s="19">
        <f t="shared" si="4"/>
        <v>82</v>
      </c>
      <c r="E93" s="71" t="str">
        <f>IF(OR('Services - WHC'!E91="",'Services - WHC'!E91="[Enter service]"),"",'Services - WHC'!E91)</f>
        <v/>
      </c>
      <c r="F93" s="72" t="str">
        <f>IF(OR('Services - WHC'!F91="",'Services - WHC'!F91="[Select]"),"",'Services - WHC'!F91)</f>
        <v/>
      </c>
      <c r="G93" s="15"/>
      <c r="H93" s="239"/>
      <c r="I93" s="239"/>
      <c r="J93" s="239"/>
      <c r="K93" s="239"/>
      <c r="L93" s="239"/>
      <c r="M93" s="239"/>
      <c r="N93" s="239"/>
      <c r="O93" s="239"/>
      <c r="P93" s="239"/>
      <c r="Q93" s="239"/>
      <c r="R93" s="239"/>
      <c r="S93" s="239"/>
      <c r="T93" s="240"/>
      <c r="U93" s="241"/>
      <c r="V93" s="425">
        <f t="shared" si="3"/>
        <v>0</v>
      </c>
      <c r="W93" s="17"/>
    </row>
    <row r="94" spans="1:23" ht="12" customHeight="1" x14ac:dyDescent="0.2">
      <c r="A94" s="6"/>
      <c r="B94" s="6"/>
      <c r="C94" s="13"/>
      <c r="D94" s="19">
        <f t="shared" si="4"/>
        <v>83</v>
      </c>
      <c r="E94" s="71" t="str">
        <f>IF(OR('Services - WHC'!E92="",'Services - WHC'!E92="[Enter service]"),"",'Services - WHC'!E92)</f>
        <v/>
      </c>
      <c r="F94" s="72" t="str">
        <f>IF(OR('Services - WHC'!F92="",'Services - WHC'!F92="[Select]"),"",'Services - WHC'!F92)</f>
        <v/>
      </c>
      <c r="G94" s="15"/>
      <c r="H94" s="239"/>
      <c r="I94" s="239"/>
      <c r="J94" s="239"/>
      <c r="K94" s="239"/>
      <c r="L94" s="239"/>
      <c r="M94" s="239"/>
      <c r="N94" s="239"/>
      <c r="O94" s="239"/>
      <c r="P94" s="239"/>
      <c r="Q94" s="239"/>
      <c r="R94" s="239"/>
      <c r="S94" s="239"/>
      <c r="T94" s="240"/>
      <c r="U94" s="241"/>
      <c r="V94" s="425">
        <f t="shared" si="3"/>
        <v>0</v>
      </c>
      <c r="W94" s="17"/>
    </row>
    <row r="95" spans="1:23" ht="12" customHeight="1" x14ac:dyDescent="0.2">
      <c r="A95" s="6"/>
      <c r="B95" s="6"/>
      <c r="C95" s="13"/>
      <c r="D95" s="19">
        <f t="shared" si="4"/>
        <v>84</v>
      </c>
      <c r="E95" s="71" t="str">
        <f>IF(OR('Services - WHC'!E93="",'Services - WHC'!E93="[Enter service]"),"",'Services - WHC'!E93)</f>
        <v/>
      </c>
      <c r="F95" s="72" t="str">
        <f>IF(OR('Services - WHC'!F93="",'Services - WHC'!F93="[Select]"),"",'Services - WHC'!F93)</f>
        <v/>
      </c>
      <c r="G95" s="15"/>
      <c r="H95" s="239"/>
      <c r="I95" s="239"/>
      <c r="J95" s="239"/>
      <c r="K95" s="239"/>
      <c r="L95" s="239"/>
      <c r="M95" s="239"/>
      <c r="N95" s="239"/>
      <c r="O95" s="239"/>
      <c r="P95" s="239"/>
      <c r="Q95" s="239"/>
      <c r="R95" s="239"/>
      <c r="S95" s="239"/>
      <c r="T95" s="240"/>
      <c r="U95" s="241"/>
      <c r="V95" s="425">
        <f t="shared" si="3"/>
        <v>0</v>
      </c>
      <c r="W95" s="17"/>
    </row>
    <row r="96" spans="1:23" ht="12" customHeight="1" x14ac:dyDescent="0.2">
      <c r="A96" s="6"/>
      <c r="B96" s="6"/>
      <c r="C96" s="13"/>
      <c r="D96" s="19">
        <f t="shared" si="4"/>
        <v>85</v>
      </c>
      <c r="E96" s="71" t="str">
        <f>IF(OR('Services - WHC'!E94="",'Services - WHC'!E94="[Enter service]"),"",'Services - WHC'!E94)</f>
        <v/>
      </c>
      <c r="F96" s="72" t="str">
        <f>IF(OR('Services - WHC'!F94="",'Services - WHC'!F94="[Select]"),"",'Services - WHC'!F94)</f>
        <v/>
      </c>
      <c r="G96" s="15"/>
      <c r="H96" s="239"/>
      <c r="I96" s="239"/>
      <c r="J96" s="239"/>
      <c r="K96" s="239"/>
      <c r="L96" s="239"/>
      <c r="M96" s="239"/>
      <c r="N96" s="239"/>
      <c r="O96" s="239"/>
      <c r="P96" s="239"/>
      <c r="Q96" s="239"/>
      <c r="R96" s="239"/>
      <c r="S96" s="239"/>
      <c r="T96" s="240"/>
      <c r="U96" s="241"/>
      <c r="V96" s="425">
        <f t="shared" si="3"/>
        <v>0</v>
      </c>
      <c r="W96" s="17"/>
    </row>
    <row r="97" spans="1:23" ht="12" customHeight="1" x14ac:dyDescent="0.2">
      <c r="A97" s="6"/>
      <c r="B97" s="6"/>
      <c r="C97" s="13"/>
      <c r="D97" s="19">
        <f t="shared" si="4"/>
        <v>86</v>
      </c>
      <c r="E97" s="71" t="str">
        <f>IF(OR('Services - WHC'!E95="",'Services - WHC'!E95="[Enter service]"),"",'Services - WHC'!E95)</f>
        <v/>
      </c>
      <c r="F97" s="72" t="str">
        <f>IF(OR('Services - WHC'!F95="",'Services - WHC'!F95="[Select]"),"",'Services - WHC'!F95)</f>
        <v/>
      </c>
      <c r="G97" s="15"/>
      <c r="H97" s="239"/>
      <c r="I97" s="239"/>
      <c r="J97" s="239"/>
      <c r="K97" s="239"/>
      <c r="L97" s="239"/>
      <c r="M97" s="239"/>
      <c r="N97" s="239"/>
      <c r="O97" s="239"/>
      <c r="P97" s="239"/>
      <c r="Q97" s="239"/>
      <c r="R97" s="239"/>
      <c r="S97" s="239"/>
      <c r="T97" s="240"/>
      <c r="U97" s="241"/>
      <c r="V97" s="425">
        <f t="shared" si="3"/>
        <v>0</v>
      </c>
      <c r="W97" s="17"/>
    </row>
    <row r="98" spans="1:23" ht="12" customHeight="1" x14ac:dyDescent="0.2">
      <c r="A98" s="6"/>
      <c r="B98" s="6"/>
      <c r="C98" s="13"/>
      <c r="D98" s="19">
        <f t="shared" si="4"/>
        <v>87</v>
      </c>
      <c r="E98" s="71" t="str">
        <f>IF(OR('Services - WHC'!E96="",'Services - WHC'!E96="[Enter service]"),"",'Services - WHC'!E96)</f>
        <v/>
      </c>
      <c r="F98" s="72" t="str">
        <f>IF(OR('Services - WHC'!F96="",'Services - WHC'!F96="[Select]"),"",'Services - WHC'!F96)</f>
        <v/>
      </c>
      <c r="G98" s="15"/>
      <c r="H98" s="239"/>
      <c r="I98" s="239"/>
      <c r="J98" s="239"/>
      <c r="K98" s="239"/>
      <c r="L98" s="239"/>
      <c r="M98" s="239"/>
      <c r="N98" s="239"/>
      <c r="O98" s="239"/>
      <c r="P98" s="239"/>
      <c r="Q98" s="239"/>
      <c r="R98" s="239"/>
      <c r="S98" s="239"/>
      <c r="T98" s="240"/>
      <c r="U98" s="241"/>
      <c r="V98" s="425">
        <f t="shared" si="3"/>
        <v>0</v>
      </c>
      <c r="W98" s="17"/>
    </row>
    <row r="99" spans="1:23" ht="12" customHeight="1" x14ac:dyDescent="0.2">
      <c r="A99" s="6"/>
      <c r="B99" s="6"/>
      <c r="C99" s="13"/>
      <c r="D99" s="19">
        <f t="shared" si="4"/>
        <v>88</v>
      </c>
      <c r="E99" s="71" t="str">
        <f>IF(OR('Services - WHC'!E97="",'Services - WHC'!E97="[Enter service]"),"",'Services - WHC'!E97)</f>
        <v/>
      </c>
      <c r="F99" s="72" t="str">
        <f>IF(OR('Services - WHC'!F97="",'Services - WHC'!F97="[Select]"),"",'Services - WHC'!F97)</f>
        <v/>
      </c>
      <c r="G99" s="15"/>
      <c r="H99" s="239"/>
      <c r="I99" s="239"/>
      <c r="J99" s="239"/>
      <c r="K99" s="239"/>
      <c r="L99" s="239"/>
      <c r="M99" s="239"/>
      <c r="N99" s="239"/>
      <c r="O99" s="239"/>
      <c r="P99" s="239"/>
      <c r="Q99" s="239"/>
      <c r="R99" s="239"/>
      <c r="S99" s="239"/>
      <c r="T99" s="240"/>
      <c r="U99" s="241"/>
      <c r="V99" s="425">
        <f t="shared" si="3"/>
        <v>0</v>
      </c>
      <c r="W99" s="17"/>
    </row>
    <row r="100" spans="1:23" ht="12" customHeight="1" x14ac:dyDescent="0.2">
      <c r="A100" s="6"/>
      <c r="B100" s="6"/>
      <c r="C100" s="13"/>
      <c r="D100" s="19">
        <f t="shared" si="4"/>
        <v>89</v>
      </c>
      <c r="E100" s="71" t="str">
        <f>IF(OR('Services - WHC'!E98="",'Services - WHC'!E98="[Enter service]"),"",'Services - WHC'!E98)</f>
        <v/>
      </c>
      <c r="F100" s="72" t="str">
        <f>IF(OR('Services - WHC'!F98="",'Services - WHC'!F98="[Select]"),"",'Services - WHC'!F98)</f>
        <v/>
      </c>
      <c r="G100" s="15"/>
      <c r="H100" s="239"/>
      <c r="I100" s="239"/>
      <c r="J100" s="239"/>
      <c r="K100" s="239"/>
      <c r="L100" s="239"/>
      <c r="M100" s="239"/>
      <c r="N100" s="239"/>
      <c r="O100" s="239"/>
      <c r="P100" s="239"/>
      <c r="Q100" s="239"/>
      <c r="R100" s="239"/>
      <c r="S100" s="239"/>
      <c r="T100" s="240"/>
      <c r="U100" s="241"/>
      <c r="V100" s="425">
        <f t="shared" si="3"/>
        <v>0</v>
      </c>
      <c r="W100" s="17"/>
    </row>
    <row r="101" spans="1:23" ht="12" customHeight="1" x14ac:dyDescent="0.2">
      <c r="A101" s="6"/>
      <c r="B101" s="6"/>
      <c r="C101" s="13"/>
      <c r="D101" s="19">
        <f t="shared" si="4"/>
        <v>90</v>
      </c>
      <c r="E101" s="71" t="str">
        <f>IF(OR('Services - WHC'!E99="",'Services - WHC'!E99="[Enter service]"),"",'Services - WHC'!E99)</f>
        <v/>
      </c>
      <c r="F101" s="72" t="str">
        <f>IF(OR('Services - WHC'!F99="",'Services - WHC'!F99="[Select]"),"",'Services - WHC'!F99)</f>
        <v/>
      </c>
      <c r="G101" s="15"/>
      <c r="H101" s="239"/>
      <c r="I101" s="239"/>
      <c r="J101" s="239"/>
      <c r="K101" s="239"/>
      <c r="L101" s="239"/>
      <c r="M101" s="239"/>
      <c r="N101" s="239"/>
      <c r="O101" s="239"/>
      <c r="P101" s="239"/>
      <c r="Q101" s="239"/>
      <c r="R101" s="239"/>
      <c r="S101" s="239"/>
      <c r="T101" s="240"/>
      <c r="U101" s="241"/>
      <c r="V101" s="425">
        <f t="shared" si="3"/>
        <v>0</v>
      </c>
      <c r="W101" s="17"/>
    </row>
    <row r="102" spans="1:23" ht="12" customHeight="1" x14ac:dyDescent="0.2">
      <c r="A102" s="6"/>
      <c r="B102" s="6"/>
      <c r="C102" s="13"/>
      <c r="D102" s="19">
        <f t="shared" si="4"/>
        <v>91</v>
      </c>
      <c r="E102" s="71" t="str">
        <f>IF(OR('Services - WHC'!E100="",'Services - WHC'!E100="[Enter service]"),"",'Services - WHC'!E100)</f>
        <v/>
      </c>
      <c r="F102" s="72" t="str">
        <f>IF(OR('Services - WHC'!F100="",'Services - WHC'!F100="[Select]"),"",'Services - WHC'!F100)</f>
        <v/>
      </c>
      <c r="G102" s="15"/>
      <c r="H102" s="239"/>
      <c r="I102" s="239"/>
      <c r="J102" s="239"/>
      <c r="K102" s="239"/>
      <c r="L102" s="239"/>
      <c r="M102" s="239"/>
      <c r="N102" s="239"/>
      <c r="O102" s="239"/>
      <c r="P102" s="239"/>
      <c r="Q102" s="239"/>
      <c r="R102" s="239"/>
      <c r="S102" s="239"/>
      <c r="T102" s="240"/>
      <c r="U102" s="241"/>
      <c r="V102" s="425">
        <f t="shared" si="3"/>
        <v>0</v>
      </c>
      <c r="W102" s="17"/>
    </row>
    <row r="103" spans="1:23" ht="12" customHeight="1" x14ac:dyDescent="0.2">
      <c r="A103" s="6"/>
      <c r="B103" s="6"/>
      <c r="C103" s="13"/>
      <c r="D103" s="19">
        <f t="shared" si="4"/>
        <v>92</v>
      </c>
      <c r="E103" s="71" t="str">
        <f>IF(OR('Services - WHC'!E101="",'Services - WHC'!E101="[Enter service]"),"",'Services - WHC'!E101)</f>
        <v/>
      </c>
      <c r="F103" s="72" t="str">
        <f>IF(OR('Services - WHC'!F101="",'Services - WHC'!F101="[Select]"),"",'Services - WHC'!F101)</f>
        <v/>
      </c>
      <c r="G103" s="15"/>
      <c r="H103" s="239"/>
      <c r="I103" s="239"/>
      <c r="J103" s="239"/>
      <c r="K103" s="239"/>
      <c r="L103" s="239"/>
      <c r="M103" s="239"/>
      <c r="N103" s="239"/>
      <c r="O103" s="239"/>
      <c r="P103" s="239"/>
      <c r="Q103" s="239"/>
      <c r="R103" s="239"/>
      <c r="S103" s="239"/>
      <c r="T103" s="240"/>
      <c r="U103" s="241"/>
      <c r="V103" s="425">
        <f t="shared" si="3"/>
        <v>0</v>
      </c>
      <c r="W103" s="17"/>
    </row>
    <row r="104" spans="1:23" ht="12" customHeight="1" x14ac:dyDescent="0.2">
      <c r="A104" s="6"/>
      <c r="B104" s="6"/>
      <c r="C104" s="13"/>
      <c r="D104" s="19">
        <f t="shared" si="4"/>
        <v>93</v>
      </c>
      <c r="E104" s="71" t="str">
        <f>IF(OR('Services - WHC'!E102="",'Services - WHC'!E102="[Enter service]"),"",'Services - WHC'!E102)</f>
        <v/>
      </c>
      <c r="F104" s="72" t="str">
        <f>IF(OR('Services - WHC'!F102="",'Services - WHC'!F102="[Select]"),"",'Services - WHC'!F102)</f>
        <v/>
      </c>
      <c r="G104" s="15"/>
      <c r="H104" s="239"/>
      <c r="I104" s="239"/>
      <c r="J104" s="239"/>
      <c r="K104" s="239"/>
      <c r="L104" s="239"/>
      <c r="M104" s="239"/>
      <c r="N104" s="239"/>
      <c r="O104" s="239"/>
      <c r="P104" s="239"/>
      <c r="Q104" s="239"/>
      <c r="R104" s="239"/>
      <c r="S104" s="239"/>
      <c r="T104" s="240"/>
      <c r="U104" s="241"/>
      <c r="V104" s="425">
        <f t="shared" si="3"/>
        <v>0</v>
      </c>
      <c r="W104" s="17"/>
    </row>
    <row r="105" spans="1:23" ht="12" customHeight="1" x14ac:dyDescent="0.2">
      <c r="A105" s="6"/>
      <c r="B105" s="6"/>
      <c r="C105" s="13"/>
      <c r="D105" s="19">
        <f t="shared" si="4"/>
        <v>94</v>
      </c>
      <c r="E105" s="71" t="str">
        <f>IF(OR('Services - WHC'!E103="",'Services - WHC'!E103="[Enter service]"),"",'Services - WHC'!E103)</f>
        <v/>
      </c>
      <c r="F105" s="72" t="str">
        <f>IF(OR('Services - WHC'!F103="",'Services - WHC'!F103="[Select]"),"",'Services - WHC'!F103)</f>
        <v/>
      </c>
      <c r="G105" s="15"/>
      <c r="H105" s="239"/>
      <c r="I105" s="239"/>
      <c r="J105" s="239"/>
      <c r="K105" s="239"/>
      <c r="L105" s="239"/>
      <c r="M105" s="239"/>
      <c r="N105" s="239"/>
      <c r="O105" s="239"/>
      <c r="P105" s="239"/>
      <c r="Q105" s="239"/>
      <c r="R105" s="239"/>
      <c r="S105" s="239"/>
      <c r="T105" s="240"/>
      <c r="U105" s="241"/>
      <c r="V105" s="425">
        <f t="shared" si="3"/>
        <v>0</v>
      </c>
      <c r="W105" s="17"/>
    </row>
    <row r="106" spans="1:23" ht="12" customHeight="1" x14ac:dyDescent="0.2">
      <c r="A106" s="6"/>
      <c r="B106" s="6"/>
      <c r="C106" s="13"/>
      <c r="D106" s="19">
        <f t="shared" si="4"/>
        <v>95</v>
      </c>
      <c r="E106" s="71" t="str">
        <f>IF(OR('Services - WHC'!E104="",'Services - WHC'!E104="[Enter service]"),"",'Services - WHC'!E104)</f>
        <v/>
      </c>
      <c r="F106" s="72" t="str">
        <f>IF(OR('Services - WHC'!F104="",'Services - WHC'!F104="[Select]"),"",'Services - WHC'!F104)</f>
        <v/>
      </c>
      <c r="G106" s="15"/>
      <c r="H106" s="239"/>
      <c r="I106" s="239"/>
      <c r="J106" s="239"/>
      <c r="K106" s="239"/>
      <c r="L106" s="239"/>
      <c r="M106" s="239"/>
      <c r="N106" s="239"/>
      <c r="O106" s="239"/>
      <c r="P106" s="239"/>
      <c r="Q106" s="239"/>
      <c r="R106" s="239"/>
      <c r="S106" s="239"/>
      <c r="T106" s="240"/>
      <c r="U106" s="241"/>
      <c r="V106" s="425">
        <f t="shared" si="3"/>
        <v>0</v>
      </c>
      <c r="W106" s="17"/>
    </row>
    <row r="107" spans="1:23" ht="12" customHeight="1" x14ac:dyDescent="0.2">
      <c r="A107" s="6"/>
      <c r="B107" s="6"/>
      <c r="C107" s="13"/>
      <c r="D107" s="19">
        <f t="shared" si="4"/>
        <v>96</v>
      </c>
      <c r="E107" s="71" t="str">
        <f>IF(OR('Services - WHC'!E105="",'Services - WHC'!E105="[Enter service]"),"",'Services - WHC'!E105)</f>
        <v/>
      </c>
      <c r="F107" s="72" t="str">
        <f>IF(OR('Services - WHC'!F105="",'Services - WHC'!F105="[Select]"),"",'Services - WHC'!F105)</f>
        <v/>
      </c>
      <c r="G107" s="15"/>
      <c r="H107" s="239"/>
      <c r="I107" s="239"/>
      <c r="J107" s="239"/>
      <c r="K107" s="239"/>
      <c r="L107" s="239"/>
      <c r="M107" s="239"/>
      <c r="N107" s="239"/>
      <c r="O107" s="239"/>
      <c r="P107" s="239"/>
      <c r="Q107" s="239"/>
      <c r="R107" s="239"/>
      <c r="S107" s="239"/>
      <c r="T107" s="240"/>
      <c r="U107" s="241"/>
      <c r="V107" s="425">
        <f t="shared" si="3"/>
        <v>0</v>
      </c>
      <c r="W107" s="17"/>
    </row>
    <row r="108" spans="1:23" ht="12" customHeight="1" x14ac:dyDescent="0.2">
      <c r="A108" s="6"/>
      <c r="B108" s="6"/>
      <c r="C108" s="13"/>
      <c r="D108" s="19">
        <f t="shared" si="4"/>
        <v>97</v>
      </c>
      <c r="E108" s="71" t="str">
        <f>IF(OR('Services - WHC'!E106="",'Services - WHC'!E106="[Enter service]"),"",'Services - WHC'!E106)</f>
        <v/>
      </c>
      <c r="F108" s="72" t="str">
        <f>IF(OR('Services - WHC'!F106="",'Services - WHC'!F106="[Select]"),"",'Services - WHC'!F106)</f>
        <v/>
      </c>
      <c r="G108" s="15"/>
      <c r="H108" s="239"/>
      <c r="I108" s="239"/>
      <c r="J108" s="239"/>
      <c r="K108" s="239"/>
      <c r="L108" s="239"/>
      <c r="M108" s="239"/>
      <c r="N108" s="239"/>
      <c r="O108" s="239"/>
      <c r="P108" s="239"/>
      <c r="Q108" s="239"/>
      <c r="R108" s="239"/>
      <c r="S108" s="239"/>
      <c r="T108" s="240"/>
      <c r="U108" s="241"/>
      <c r="V108" s="425">
        <f t="shared" ref="V108:V139" si="5">SUM(H108:U108)</f>
        <v>0</v>
      </c>
      <c r="W108" s="17"/>
    </row>
    <row r="109" spans="1:23" ht="12" customHeight="1" x14ac:dyDescent="0.2">
      <c r="A109" s="6"/>
      <c r="B109" s="6"/>
      <c r="C109" s="13"/>
      <c r="D109" s="19">
        <f t="shared" si="4"/>
        <v>98</v>
      </c>
      <c r="E109" s="71" t="str">
        <f>IF(OR('Services - WHC'!E107="",'Services - WHC'!E107="[Enter service]"),"",'Services - WHC'!E107)</f>
        <v/>
      </c>
      <c r="F109" s="72" t="str">
        <f>IF(OR('Services - WHC'!F107="",'Services - WHC'!F107="[Select]"),"",'Services - WHC'!F107)</f>
        <v/>
      </c>
      <c r="G109" s="15"/>
      <c r="H109" s="239"/>
      <c r="I109" s="239"/>
      <c r="J109" s="239"/>
      <c r="K109" s="239"/>
      <c r="L109" s="239"/>
      <c r="M109" s="239"/>
      <c r="N109" s="239"/>
      <c r="O109" s="239"/>
      <c r="P109" s="239"/>
      <c r="Q109" s="239"/>
      <c r="R109" s="239"/>
      <c r="S109" s="239"/>
      <c r="T109" s="240"/>
      <c r="U109" s="241"/>
      <c r="V109" s="425">
        <f t="shared" si="5"/>
        <v>0</v>
      </c>
      <c r="W109" s="17"/>
    </row>
    <row r="110" spans="1:23" ht="12" customHeight="1" x14ac:dyDescent="0.2">
      <c r="A110" s="6"/>
      <c r="B110" s="6"/>
      <c r="C110" s="13"/>
      <c r="D110" s="19">
        <f t="shared" si="4"/>
        <v>99</v>
      </c>
      <c r="E110" s="71" t="str">
        <f>IF(OR('Services - WHC'!E108="",'Services - WHC'!E108="[Enter service]"),"",'Services - WHC'!E108)</f>
        <v/>
      </c>
      <c r="F110" s="72" t="str">
        <f>IF(OR('Services - WHC'!F108="",'Services - WHC'!F108="[Select]"),"",'Services - WHC'!F108)</f>
        <v/>
      </c>
      <c r="G110" s="15"/>
      <c r="H110" s="239"/>
      <c r="I110" s="239"/>
      <c r="J110" s="239"/>
      <c r="K110" s="239"/>
      <c r="L110" s="239"/>
      <c r="M110" s="239"/>
      <c r="N110" s="239"/>
      <c r="O110" s="239"/>
      <c r="P110" s="239"/>
      <c r="Q110" s="239"/>
      <c r="R110" s="239"/>
      <c r="S110" s="239"/>
      <c r="T110" s="240"/>
      <c r="U110" s="241"/>
      <c r="V110" s="425">
        <f t="shared" si="5"/>
        <v>0</v>
      </c>
      <c r="W110" s="17"/>
    </row>
    <row r="111" spans="1:23" ht="12" customHeight="1" x14ac:dyDescent="0.2">
      <c r="A111" s="6"/>
      <c r="B111" s="6"/>
      <c r="C111" s="13"/>
      <c r="D111" s="19">
        <f t="shared" si="4"/>
        <v>100</v>
      </c>
      <c r="E111" s="71" t="str">
        <f>IF(OR('Services - WHC'!E109="",'Services - WHC'!E109="[Enter service]"),"",'Services - WHC'!E109)</f>
        <v/>
      </c>
      <c r="F111" s="72" t="str">
        <f>IF(OR('Services - WHC'!F109="",'Services - WHC'!F109="[Select]"),"",'Services - WHC'!F109)</f>
        <v/>
      </c>
      <c r="G111" s="15"/>
      <c r="H111" s="239"/>
      <c r="I111" s="239"/>
      <c r="J111" s="239"/>
      <c r="K111" s="239"/>
      <c r="L111" s="239"/>
      <c r="M111" s="239"/>
      <c r="N111" s="239"/>
      <c r="O111" s="239"/>
      <c r="P111" s="239"/>
      <c r="Q111" s="239"/>
      <c r="R111" s="239"/>
      <c r="S111" s="239"/>
      <c r="T111" s="240"/>
      <c r="U111" s="241"/>
      <c r="V111" s="425">
        <f t="shared" si="5"/>
        <v>0</v>
      </c>
      <c r="W111" s="17"/>
    </row>
    <row r="112" spans="1:23" ht="12" customHeight="1" x14ac:dyDescent="0.2">
      <c r="A112" s="6"/>
      <c r="B112" s="6"/>
      <c r="C112" s="13"/>
      <c r="D112" s="19">
        <f t="shared" si="4"/>
        <v>101</v>
      </c>
      <c r="E112" s="71" t="str">
        <f>IF(OR('Services - WHC'!E110="",'Services - WHC'!E110="[Enter service]"),"",'Services - WHC'!E110)</f>
        <v/>
      </c>
      <c r="F112" s="72" t="str">
        <f>IF(OR('Services - WHC'!F110="",'Services - WHC'!F110="[Select]"),"",'Services - WHC'!F110)</f>
        <v/>
      </c>
      <c r="G112" s="15"/>
      <c r="H112" s="263"/>
      <c r="I112" s="263"/>
      <c r="J112" s="263"/>
      <c r="K112" s="263"/>
      <c r="L112" s="263"/>
      <c r="M112" s="263"/>
      <c r="N112" s="263"/>
      <c r="O112" s="263"/>
      <c r="P112" s="263"/>
      <c r="Q112" s="263"/>
      <c r="R112" s="263"/>
      <c r="S112" s="263"/>
      <c r="T112" s="264"/>
      <c r="U112" s="244"/>
      <c r="V112" s="425">
        <f t="shared" si="5"/>
        <v>0</v>
      </c>
      <c r="W112" s="17"/>
    </row>
    <row r="113" spans="1:23" ht="12" customHeight="1" x14ac:dyDescent="0.2">
      <c r="A113" s="6"/>
      <c r="B113" s="6"/>
      <c r="C113" s="13"/>
      <c r="D113" s="19">
        <f t="shared" si="4"/>
        <v>102</v>
      </c>
      <c r="E113" s="71" t="str">
        <f>IF(OR('Services - WHC'!E111="",'Services - WHC'!E111="[Enter service]"),"",'Services - WHC'!E111)</f>
        <v/>
      </c>
      <c r="F113" s="72" t="str">
        <f>IF(OR('Services - WHC'!F111="",'Services - WHC'!F111="[Select]"),"",'Services - WHC'!F111)</f>
        <v/>
      </c>
      <c r="G113" s="15"/>
      <c r="H113" s="263"/>
      <c r="I113" s="263"/>
      <c r="J113" s="263"/>
      <c r="K113" s="263"/>
      <c r="L113" s="263"/>
      <c r="M113" s="263"/>
      <c r="N113" s="263"/>
      <c r="O113" s="263"/>
      <c r="P113" s="263"/>
      <c r="Q113" s="263"/>
      <c r="R113" s="263"/>
      <c r="S113" s="263"/>
      <c r="T113" s="264"/>
      <c r="U113" s="244"/>
      <c r="V113" s="425">
        <f t="shared" si="5"/>
        <v>0</v>
      </c>
      <c r="W113" s="17"/>
    </row>
    <row r="114" spans="1:23" ht="12" customHeight="1" x14ac:dyDescent="0.2">
      <c r="A114" s="6"/>
      <c r="B114" s="6"/>
      <c r="C114" s="13"/>
      <c r="D114" s="19">
        <f t="shared" si="4"/>
        <v>103</v>
      </c>
      <c r="E114" s="71" t="str">
        <f>IF(OR('Services - WHC'!E112="",'Services - WHC'!E112="[Enter service]"),"",'Services - WHC'!E112)</f>
        <v/>
      </c>
      <c r="F114" s="72" t="str">
        <f>IF(OR('Services - WHC'!F112="",'Services - WHC'!F112="[Select]"),"",'Services - WHC'!F112)</f>
        <v/>
      </c>
      <c r="G114" s="15"/>
      <c r="H114" s="263"/>
      <c r="I114" s="263"/>
      <c r="J114" s="263"/>
      <c r="K114" s="263"/>
      <c r="L114" s="263"/>
      <c r="M114" s="263"/>
      <c r="N114" s="263"/>
      <c r="O114" s="263"/>
      <c r="P114" s="263"/>
      <c r="Q114" s="263"/>
      <c r="R114" s="263"/>
      <c r="S114" s="263"/>
      <c r="T114" s="264"/>
      <c r="U114" s="244"/>
      <c r="V114" s="425">
        <f t="shared" si="5"/>
        <v>0</v>
      </c>
      <c r="W114" s="17"/>
    </row>
    <row r="115" spans="1:23" ht="12" customHeight="1" x14ac:dyDescent="0.2">
      <c r="A115" s="6"/>
      <c r="B115" s="6"/>
      <c r="C115" s="13"/>
      <c r="D115" s="19">
        <f t="shared" si="4"/>
        <v>104</v>
      </c>
      <c r="E115" s="71" t="str">
        <f>IF(OR('Services - WHC'!E113="",'Services - WHC'!E113="[Enter service]"),"",'Services - WHC'!E113)</f>
        <v/>
      </c>
      <c r="F115" s="72" t="str">
        <f>IF(OR('Services - WHC'!F113="",'Services - WHC'!F113="[Select]"),"",'Services - WHC'!F113)</f>
        <v/>
      </c>
      <c r="G115" s="15"/>
      <c r="H115" s="263"/>
      <c r="I115" s="263"/>
      <c r="J115" s="263"/>
      <c r="K115" s="263"/>
      <c r="L115" s="263"/>
      <c r="M115" s="263"/>
      <c r="N115" s="263"/>
      <c r="O115" s="263"/>
      <c r="P115" s="263"/>
      <c r="Q115" s="263"/>
      <c r="R115" s="263"/>
      <c r="S115" s="263"/>
      <c r="T115" s="264"/>
      <c r="U115" s="244"/>
      <c r="V115" s="425">
        <f t="shared" si="5"/>
        <v>0</v>
      </c>
      <c r="W115" s="17"/>
    </row>
    <row r="116" spans="1:23" ht="12" customHeight="1" x14ac:dyDescent="0.2">
      <c r="A116" s="6"/>
      <c r="B116" s="6"/>
      <c r="C116" s="13"/>
      <c r="D116" s="19">
        <f t="shared" si="4"/>
        <v>105</v>
      </c>
      <c r="E116" s="71" t="str">
        <f>IF(OR('Services - WHC'!E114="",'Services - WHC'!E114="[Enter service]"),"",'Services - WHC'!E114)</f>
        <v/>
      </c>
      <c r="F116" s="72" t="str">
        <f>IF(OR('Services - WHC'!F114="",'Services - WHC'!F114="[Select]"),"",'Services - WHC'!F114)</f>
        <v/>
      </c>
      <c r="G116" s="15"/>
      <c r="H116" s="263"/>
      <c r="I116" s="263"/>
      <c r="J116" s="263"/>
      <c r="K116" s="263"/>
      <c r="L116" s="263"/>
      <c r="M116" s="263"/>
      <c r="N116" s="263"/>
      <c r="O116" s="263"/>
      <c r="P116" s="263"/>
      <c r="Q116" s="263"/>
      <c r="R116" s="263"/>
      <c r="S116" s="263"/>
      <c r="T116" s="264"/>
      <c r="U116" s="244"/>
      <c r="V116" s="425">
        <f t="shared" si="5"/>
        <v>0</v>
      </c>
      <c r="W116" s="17"/>
    </row>
    <row r="117" spans="1:23" ht="12" customHeight="1" x14ac:dyDescent="0.2">
      <c r="A117" s="6"/>
      <c r="B117" s="6"/>
      <c r="C117" s="13"/>
      <c r="D117" s="19">
        <f t="shared" si="4"/>
        <v>106</v>
      </c>
      <c r="E117" s="71" t="str">
        <f>IF(OR('Services - WHC'!E115="",'Services - WHC'!E115="[Enter service]"),"",'Services - WHC'!E115)</f>
        <v/>
      </c>
      <c r="F117" s="72" t="str">
        <f>IF(OR('Services - WHC'!F115="",'Services - WHC'!F115="[Select]"),"",'Services - WHC'!F115)</f>
        <v/>
      </c>
      <c r="G117" s="15"/>
      <c r="H117" s="263"/>
      <c r="I117" s="263"/>
      <c r="J117" s="263"/>
      <c r="K117" s="263"/>
      <c r="L117" s="263"/>
      <c r="M117" s="263"/>
      <c r="N117" s="263"/>
      <c r="O117" s="263"/>
      <c r="P117" s="263"/>
      <c r="Q117" s="263"/>
      <c r="R117" s="263"/>
      <c r="S117" s="263"/>
      <c r="T117" s="264"/>
      <c r="U117" s="244"/>
      <c r="V117" s="425">
        <f t="shared" si="5"/>
        <v>0</v>
      </c>
      <c r="W117" s="17"/>
    </row>
    <row r="118" spans="1:23" ht="12" customHeight="1" x14ac:dyDescent="0.2">
      <c r="A118" s="6"/>
      <c r="B118" s="6"/>
      <c r="C118" s="13"/>
      <c r="D118" s="19">
        <f t="shared" si="4"/>
        <v>107</v>
      </c>
      <c r="E118" s="71" t="str">
        <f>IF(OR('Services - WHC'!E116="",'Services - WHC'!E116="[Enter service]"),"",'Services - WHC'!E116)</f>
        <v/>
      </c>
      <c r="F118" s="72" t="str">
        <f>IF(OR('Services - WHC'!F116="",'Services - WHC'!F116="[Select]"),"",'Services - WHC'!F116)</f>
        <v/>
      </c>
      <c r="G118" s="15"/>
      <c r="H118" s="263"/>
      <c r="I118" s="263"/>
      <c r="J118" s="263"/>
      <c r="K118" s="263"/>
      <c r="L118" s="263"/>
      <c r="M118" s="263"/>
      <c r="N118" s="263"/>
      <c r="O118" s="263"/>
      <c r="P118" s="263"/>
      <c r="Q118" s="263"/>
      <c r="R118" s="263"/>
      <c r="S118" s="263"/>
      <c r="T118" s="264"/>
      <c r="U118" s="244"/>
      <c r="V118" s="425">
        <f t="shared" si="5"/>
        <v>0</v>
      </c>
      <c r="W118" s="17"/>
    </row>
    <row r="119" spans="1:23" ht="12" customHeight="1" x14ac:dyDescent="0.2">
      <c r="A119" s="6"/>
      <c r="B119" s="6"/>
      <c r="C119" s="13"/>
      <c r="D119" s="19">
        <f t="shared" si="4"/>
        <v>108</v>
      </c>
      <c r="E119" s="71" t="str">
        <f>IF(OR('Services - WHC'!E117="",'Services - WHC'!E117="[Enter service]"),"",'Services - WHC'!E117)</f>
        <v/>
      </c>
      <c r="F119" s="72" t="str">
        <f>IF(OR('Services - WHC'!F117="",'Services - WHC'!F117="[Select]"),"",'Services - WHC'!F117)</f>
        <v/>
      </c>
      <c r="G119" s="15"/>
      <c r="H119" s="263"/>
      <c r="I119" s="263"/>
      <c r="J119" s="263"/>
      <c r="K119" s="263"/>
      <c r="L119" s="263"/>
      <c r="M119" s="263"/>
      <c r="N119" s="263"/>
      <c r="O119" s="263"/>
      <c r="P119" s="263"/>
      <c r="Q119" s="263"/>
      <c r="R119" s="263"/>
      <c r="S119" s="263"/>
      <c r="T119" s="264"/>
      <c r="U119" s="244"/>
      <c r="V119" s="425">
        <f t="shared" si="5"/>
        <v>0</v>
      </c>
      <c r="W119" s="17"/>
    </row>
    <row r="120" spans="1:23" ht="12" customHeight="1" x14ac:dyDescent="0.2">
      <c r="A120" s="6"/>
      <c r="B120" s="6"/>
      <c r="C120" s="13"/>
      <c r="D120" s="19">
        <f t="shared" si="4"/>
        <v>109</v>
      </c>
      <c r="E120" s="71" t="str">
        <f>IF(OR('Services - WHC'!E118="",'Services - WHC'!E118="[Enter service]"),"",'Services - WHC'!E118)</f>
        <v/>
      </c>
      <c r="F120" s="72" t="str">
        <f>IF(OR('Services - WHC'!F118="",'Services - WHC'!F118="[Select]"),"",'Services - WHC'!F118)</f>
        <v/>
      </c>
      <c r="G120" s="15"/>
      <c r="H120" s="263"/>
      <c r="I120" s="263"/>
      <c r="J120" s="263"/>
      <c r="K120" s="263"/>
      <c r="L120" s="263"/>
      <c r="M120" s="263"/>
      <c r="N120" s="263"/>
      <c r="O120" s="263"/>
      <c r="P120" s="263"/>
      <c r="Q120" s="263"/>
      <c r="R120" s="263"/>
      <c r="S120" s="263"/>
      <c r="T120" s="264"/>
      <c r="U120" s="244"/>
      <c r="V120" s="425">
        <f t="shared" si="5"/>
        <v>0</v>
      </c>
      <c r="W120" s="17"/>
    </row>
    <row r="121" spans="1:23" ht="12" customHeight="1" x14ac:dyDescent="0.2">
      <c r="A121" s="6"/>
      <c r="B121" s="6"/>
      <c r="C121" s="13"/>
      <c r="D121" s="19">
        <f t="shared" si="4"/>
        <v>110</v>
      </c>
      <c r="E121" s="71" t="str">
        <f>IF(OR('Services - WHC'!E119="",'Services - WHC'!E119="[Enter service]"),"",'Services - WHC'!E119)</f>
        <v/>
      </c>
      <c r="F121" s="72" t="str">
        <f>IF(OR('Services - WHC'!F119="",'Services - WHC'!F119="[Select]"),"",'Services - WHC'!F119)</f>
        <v/>
      </c>
      <c r="G121" s="15"/>
      <c r="H121" s="263"/>
      <c r="I121" s="263"/>
      <c r="J121" s="263"/>
      <c r="K121" s="263"/>
      <c r="L121" s="263"/>
      <c r="M121" s="263"/>
      <c r="N121" s="263"/>
      <c r="O121" s="263"/>
      <c r="P121" s="263"/>
      <c r="Q121" s="263"/>
      <c r="R121" s="263"/>
      <c r="S121" s="263"/>
      <c r="T121" s="264"/>
      <c r="U121" s="244"/>
      <c r="V121" s="425">
        <f t="shared" si="5"/>
        <v>0</v>
      </c>
      <c r="W121" s="17"/>
    </row>
    <row r="122" spans="1:23" ht="12" customHeight="1" x14ac:dyDescent="0.2">
      <c r="A122" s="6"/>
      <c r="B122" s="6"/>
      <c r="C122" s="13"/>
      <c r="D122" s="19">
        <f t="shared" si="4"/>
        <v>111</v>
      </c>
      <c r="E122" s="71" t="str">
        <f>IF(OR('Services - WHC'!E120="",'Services - WHC'!E120="[Enter service]"),"",'Services - WHC'!E120)</f>
        <v/>
      </c>
      <c r="F122" s="72" t="str">
        <f>IF(OR('Services - WHC'!F120="",'Services - WHC'!F120="[Select]"),"",'Services - WHC'!F120)</f>
        <v/>
      </c>
      <c r="G122" s="15"/>
      <c r="H122" s="263"/>
      <c r="I122" s="263"/>
      <c r="J122" s="263"/>
      <c r="K122" s="263"/>
      <c r="L122" s="263"/>
      <c r="M122" s="263"/>
      <c r="N122" s="263"/>
      <c r="O122" s="263"/>
      <c r="P122" s="263"/>
      <c r="Q122" s="263"/>
      <c r="R122" s="263"/>
      <c r="S122" s="263"/>
      <c r="T122" s="264"/>
      <c r="U122" s="244"/>
      <c r="V122" s="425">
        <f t="shared" si="5"/>
        <v>0</v>
      </c>
      <c r="W122" s="17"/>
    </row>
    <row r="123" spans="1:23" ht="12" customHeight="1" x14ac:dyDescent="0.2">
      <c r="A123" s="6"/>
      <c r="B123" s="6"/>
      <c r="C123" s="13"/>
      <c r="D123" s="19">
        <f t="shared" si="4"/>
        <v>112</v>
      </c>
      <c r="E123" s="71" t="str">
        <f>IF(OR('Services - WHC'!E121="",'Services - WHC'!E121="[Enter service]"),"",'Services - WHC'!E121)</f>
        <v/>
      </c>
      <c r="F123" s="72" t="str">
        <f>IF(OR('Services - WHC'!F121="",'Services - WHC'!F121="[Select]"),"",'Services - WHC'!F121)</f>
        <v/>
      </c>
      <c r="G123" s="15"/>
      <c r="H123" s="263"/>
      <c r="I123" s="263"/>
      <c r="J123" s="263"/>
      <c r="K123" s="263"/>
      <c r="L123" s="263"/>
      <c r="M123" s="263"/>
      <c r="N123" s="263"/>
      <c r="O123" s="263"/>
      <c r="P123" s="263"/>
      <c r="Q123" s="263"/>
      <c r="R123" s="263"/>
      <c r="S123" s="263"/>
      <c r="T123" s="264"/>
      <c r="U123" s="244"/>
      <c r="V123" s="425">
        <f t="shared" si="5"/>
        <v>0</v>
      </c>
      <c r="W123" s="17"/>
    </row>
    <row r="124" spans="1:23" ht="12" customHeight="1" x14ac:dyDescent="0.2">
      <c r="A124" s="6"/>
      <c r="B124" s="6"/>
      <c r="C124" s="13"/>
      <c r="D124" s="19">
        <f t="shared" si="4"/>
        <v>113</v>
      </c>
      <c r="E124" s="71" t="str">
        <f>IF(OR('Services - WHC'!E122="",'Services - WHC'!E122="[Enter service]"),"",'Services - WHC'!E122)</f>
        <v/>
      </c>
      <c r="F124" s="72" t="str">
        <f>IF(OR('Services - WHC'!F122="",'Services - WHC'!F122="[Select]"),"",'Services - WHC'!F122)</f>
        <v/>
      </c>
      <c r="G124" s="15"/>
      <c r="H124" s="263"/>
      <c r="I124" s="263"/>
      <c r="J124" s="263"/>
      <c r="K124" s="263"/>
      <c r="L124" s="263"/>
      <c r="M124" s="263"/>
      <c r="N124" s="263"/>
      <c r="O124" s="263"/>
      <c r="P124" s="263"/>
      <c r="Q124" s="263"/>
      <c r="R124" s="263"/>
      <c r="S124" s="263"/>
      <c r="T124" s="264"/>
      <c r="U124" s="244"/>
      <c r="V124" s="425">
        <f t="shared" si="5"/>
        <v>0</v>
      </c>
      <c r="W124" s="17"/>
    </row>
    <row r="125" spans="1:23" ht="12" customHeight="1" x14ac:dyDescent="0.2">
      <c r="A125" s="6"/>
      <c r="B125" s="6"/>
      <c r="C125" s="13"/>
      <c r="D125" s="19">
        <f t="shared" si="4"/>
        <v>114</v>
      </c>
      <c r="E125" s="71" t="str">
        <f>IF(OR('Services - WHC'!E123="",'Services - WHC'!E123="[Enter service]"),"",'Services - WHC'!E123)</f>
        <v/>
      </c>
      <c r="F125" s="72" t="str">
        <f>IF(OR('Services - WHC'!F123="",'Services - WHC'!F123="[Select]"),"",'Services - WHC'!F123)</f>
        <v/>
      </c>
      <c r="G125" s="15"/>
      <c r="H125" s="263"/>
      <c r="I125" s="263"/>
      <c r="J125" s="263"/>
      <c r="K125" s="263"/>
      <c r="L125" s="263"/>
      <c r="M125" s="263"/>
      <c r="N125" s="263"/>
      <c r="O125" s="263"/>
      <c r="P125" s="263"/>
      <c r="Q125" s="263"/>
      <c r="R125" s="263"/>
      <c r="S125" s="263"/>
      <c r="T125" s="264"/>
      <c r="U125" s="244"/>
      <c r="V125" s="425">
        <f t="shared" si="5"/>
        <v>0</v>
      </c>
      <c r="W125" s="17"/>
    </row>
    <row r="126" spans="1:23" ht="12" customHeight="1" x14ac:dyDescent="0.2">
      <c r="A126" s="6"/>
      <c r="B126" s="6"/>
      <c r="C126" s="13"/>
      <c r="D126" s="19">
        <f t="shared" si="4"/>
        <v>115</v>
      </c>
      <c r="E126" s="71" t="str">
        <f>IF(OR('Services - WHC'!E124="",'Services - WHC'!E124="[Enter service]"),"",'Services - WHC'!E124)</f>
        <v/>
      </c>
      <c r="F126" s="72" t="str">
        <f>IF(OR('Services - WHC'!F124="",'Services - WHC'!F124="[Select]"),"",'Services - WHC'!F124)</f>
        <v/>
      </c>
      <c r="G126" s="15"/>
      <c r="H126" s="263"/>
      <c r="I126" s="263"/>
      <c r="J126" s="263"/>
      <c r="K126" s="263"/>
      <c r="L126" s="263"/>
      <c r="M126" s="263"/>
      <c r="N126" s="263"/>
      <c r="O126" s="263"/>
      <c r="P126" s="263"/>
      <c r="Q126" s="263"/>
      <c r="R126" s="263"/>
      <c r="S126" s="263"/>
      <c r="T126" s="264"/>
      <c r="U126" s="244"/>
      <c r="V126" s="425">
        <f t="shared" si="5"/>
        <v>0</v>
      </c>
      <c r="W126" s="17"/>
    </row>
    <row r="127" spans="1:23" ht="12" customHeight="1" x14ac:dyDescent="0.2">
      <c r="A127" s="6"/>
      <c r="B127" s="6"/>
      <c r="C127" s="13"/>
      <c r="D127" s="19">
        <f t="shared" si="4"/>
        <v>116</v>
      </c>
      <c r="E127" s="71" t="str">
        <f>IF(OR('Services - WHC'!E125="",'Services - WHC'!E125="[Enter service]"),"",'Services - WHC'!E125)</f>
        <v/>
      </c>
      <c r="F127" s="72" t="str">
        <f>IF(OR('Services - WHC'!F125="",'Services - WHC'!F125="[Select]"),"",'Services - WHC'!F125)</f>
        <v/>
      </c>
      <c r="G127" s="15"/>
      <c r="H127" s="263"/>
      <c r="I127" s="263"/>
      <c r="J127" s="263"/>
      <c r="K127" s="263"/>
      <c r="L127" s="263"/>
      <c r="M127" s="263"/>
      <c r="N127" s="263"/>
      <c r="O127" s="263"/>
      <c r="P127" s="263"/>
      <c r="Q127" s="263"/>
      <c r="R127" s="263"/>
      <c r="S127" s="263"/>
      <c r="T127" s="264"/>
      <c r="U127" s="244"/>
      <c r="V127" s="425">
        <f t="shared" si="5"/>
        <v>0</v>
      </c>
      <c r="W127" s="17"/>
    </row>
    <row r="128" spans="1:23" ht="12" customHeight="1" x14ac:dyDescent="0.2">
      <c r="A128" s="6"/>
      <c r="B128" s="6"/>
      <c r="C128" s="13"/>
      <c r="D128" s="19">
        <f t="shared" si="4"/>
        <v>117</v>
      </c>
      <c r="E128" s="71" t="str">
        <f>IF(OR('Services - WHC'!E126="",'Services - WHC'!E126="[Enter service]"),"",'Services - WHC'!E126)</f>
        <v/>
      </c>
      <c r="F128" s="72" t="str">
        <f>IF(OR('Services - WHC'!F126="",'Services - WHC'!F126="[Select]"),"",'Services - WHC'!F126)</f>
        <v/>
      </c>
      <c r="G128" s="15"/>
      <c r="H128" s="263"/>
      <c r="I128" s="263"/>
      <c r="J128" s="263"/>
      <c r="K128" s="263"/>
      <c r="L128" s="263"/>
      <c r="M128" s="263"/>
      <c r="N128" s="263"/>
      <c r="O128" s="263"/>
      <c r="P128" s="263"/>
      <c r="Q128" s="263"/>
      <c r="R128" s="263"/>
      <c r="S128" s="263"/>
      <c r="T128" s="264"/>
      <c r="U128" s="244"/>
      <c r="V128" s="425">
        <f t="shared" si="5"/>
        <v>0</v>
      </c>
      <c r="W128" s="17"/>
    </row>
    <row r="129" spans="1:23" ht="12" customHeight="1" x14ac:dyDescent="0.2">
      <c r="A129" s="6"/>
      <c r="B129" s="6"/>
      <c r="C129" s="13"/>
      <c r="D129" s="19">
        <f t="shared" si="4"/>
        <v>118</v>
      </c>
      <c r="E129" s="71" t="str">
        <f>IF(OR('Services - WHC'!E127="",'Services - WHC'!E127="[Enter service]"),"",'Services - WHC'!E127)</f>
        <v/>
      </c>
      <c r="F129" s="72" t="str">
        <f>IF(OR('Services - WHC'!F127="",'Services - WHC'!F127="[Select]"),"",'Services - WHC'!F127)</f>
        <v/>
      </c>
      <c r="G129" s="15"/>
      <c r="H129" s="263"/>
      <c r="I129" s="263"/>
      <c r="J129" s="263"/>
      <c r="K129" s="263"/>
      <c r="L129" s="263"/>
      <c r="M129" s="263"/>
      <c r="N129" s="263"/>
      <c r="O129" s="263"/>
      <c r="P129" s="263"/>
      <c r="Q129" s="263"/>
      <c r="R129" s="263"/>
      <c r="S129" s="263"/>
      <c r="T129" s="264"/>
      <c r="U129" s="244"/>
      <c r="V129" s="425">
        <f t="shared" si="5"/>
        <v>0</v>
      </c>
      <c r="W129" s="17"/>
    </row>
    <row r="130" spans="1:23" ht="12" customHeight="1" x14ac:dyDescent="0.2">
      <c r="A130" s="6"/>
      <c r="B130" s="6"/>
      <c r="C130" s="13"/>
      <c r="D130" s="19">
        <f t="shared" si="4"/>
        <v>119</v>
      </c>
      <c r="E130" s="71" t="str">
        <f>IF(OR('Services - WHC'!E128="",'Services - WHC'!E128="[Enter service]"),"",'Services - WHC'!E128)</f>
        <v/>
      </c>
      <c r="F130" s="72" t="str">
        <f>IF(OR('Services - WHC'!F128="",'Services - WHC'!F128="[Select]"),"",'Services - WHC'!F128)</f>
        <v/>
      </c>
      <c r="G130" s="15"/>
      <c r="H130" s="263"/>
      <c r="I130" s="263"/>
      <c r="J130" s="263"/>
      <c r="K130" s="263"/>
      <c r="L130" s="263"/>
      <c r="M130" s="263"/>
      <c r="N130" s="263"/>
      <c r="O130" s="263"/>
      <c r="P130" s="263"/>
      <c r="Q130" s="263"/>
      <c r="R130" s="263"/>
      <c r="S130" s="263"/>
      <c r="T130" s="264"/>
      <c r="U130" s="244"/>
      <c r="V130" s="425">
        <f t="shared" si="5"/>
        <v>0</v>
      </c>
      <c r="W130" s="17"/>
    </row>
    <row r="131" spans="1:23" ht="12" customHeight="1" x14ac:dyDescent="0.2">
      <c r="A131" s="6"/>
      <c r="B131" s="6"/>
      <c r="C131" s="13"/>
      <c r="D131" s="19">
        <f t="shared" si="4"/>
        <v>120</v>
      </c>
      <c r="E131" s="71" t="str">
        <f>IF(OR('Services - WHC'!E129="",'Services - WHC'!E129="[Enter service]"),"",'Services - WHC'!E129)</f>
        <v/>
      </c>
      <c r="F131" s="72" t="str">
        <f>IF(OR('Services - WHC'!F129="",'Services - WHC'!F129="[Select]"),"",'Services - WHC'!F129)</f>
        <v/>
      </c>
      <c r="G131" s="15"/>
      <c r="H131" s="263"/>
      <c r="I131" s="263"/>
      <c r="J131" s="263"/>
      <c r="K131" s="263"/>
      <c r="L131" s="263"/>
      <c r="M131" s="263"/>
      <c r="N131" s="263"/>
      <c r="O131" s="263"/>
      <c r="P131" s="263"/>
      <c r="Q131" s="263"/>
      <c r="R131" s="263"/>
      <c r="S131" s="263"/>
      <c r="T131" s="264"/>
      <c r="U131" s="244"/>
      <c r="V131" s="425">
        <f t="shared" si="5"/>
        <v>0</v>
      </c>
      <c r="W131" s="17"/>
    </row>
    <row r="132" spans="1:23" ht="12" customHeight="1" x14ac:dyDescent="0.2">
      <c r="A132" s="6"/>
      <c r="B132" s="6"/>
      <c r="C132" s="13"/>
      <c r="D132" s="19">
        <f t="shared" si="4"/>
        <v>121</v>
      </c>
      <c r="E132" s="71" t="str">
        <f>IF(OR('Services - WHC'!E130="",'Services - WHC'!E130="[Enter service]"),"",'Services - WHC'!E130)</f>
        <v/>
      </c>
      <c r="F132" s="72" t="str">
        <f>IF(OR('Services - WHC'!F130="",'Services - WHC'!F130="[Select]"),"",'Services - WHC'!F130)</f>
        <v/>
      </c>
      <c r="G132" s="15"/>
      <c r="H132" s="263"/>
      <c r="I132" s="263"/>
      <c r="J132" s="263"/>
      <c r="K132" s="263"/>
      <c r="L132" s="263"/>
      <c r="M132" s="263"/>
      <c r="N132" s="263"/>
      <c r="O132" s="263"/>
      <c r="P132" s="263"/>
      <c r="Q132" s="263"/>
      <c r="R132" s="263"/>
      <c r="S132" s="263"/>
      <c r="T132" s="264"/>
      <c r="U132" s="244"/>
      <c r="V132" s="425">
        <f t="shared" si="5"/>
        <v>0</v>
      </c>
      <c r="W132" s="17"/>
    </row>
    <row r="133" spans="1:23" ht="12" customHeight="1" x14ac:dyDescent="0.2">
      <c r="A133" s="6"/>
      <c r="B133" s="6"/>
      <c r="C133" s="13"/>
      <c r="D133" s="19">
        <f t="shared" si="4"/>
        <v>122</v>
      </c>
      <c r="E133" s="71" t="str">
        <f>IF(OR('Services - WHC'!E131="",'Services - WHC'!E131="[Enter service]"),"",'Services - WHC'!E131)</f>
        <v/>
      </c>
      <c r="F133" s="72" t="str">
        <f>IF(OR('Services - WHC'!F131="",'Services - WHC'!F131="[Select]"),"",'Services - WHC'!F131)</f>
        <v/>
      </c>
      <c r="G133" s="15"/>
      <c r="H133" s="263"/>
      <c r="I133" s="263"/>
      <c r="J133" s="263"/>
      <c r="K133" s="263"/>
      <c r="L133" s="263"/>
      <c r="M133" s="263"/>
      <c r="N133" s="263"/>
      <c r="O133" s="263"/>
      <c r="P133" s="263"/>
      <c r="Q133" s="263"/>
      <c r="R133" s="263"/>
      <c r="S133" s="263"/>
      <c r="T133" s="264"/>
      <c r="U133" s="244"/>
      <c r="V133" s="425">
        <f t="shared" si="5"/>
        <v>0</v>
      </c>
      <c r="W133" s="17"/>
    </row>
    <row r="134" spans="1:23" ht="12" customHeight="1" x14ac:dyDescent="0.2">
      <c r="A134" s="6"/>
      <c r="B134" s="6"/>
      <c r="C134" s="13"/>
      <c r="D134" s="19">
        <f t="shared" si="4"/>
        <v>123</v>
      </c>
      <c r="E134" s="71" t="str">
        <f>IF(OR('Services - WHC'!E132="",'Services - WHC'!E132="[Enter service]"),"",'Services - WHC'!E132)</f>
        <v/>
      </c>
      <c r="F134" s="72" t="str">
        <f>IF(OR('Services - WHC'!F132="",'Services - WHC'!F132="[Select]"),"",'Services - WHC'!F132)</f>
        <v/>
      </c>
      <c r="G134" s="15"/>
      <c r="H134" s="263"/>
      <c r="I134" s="263"/>
      <c r="J134" s="263"/>
      <c r="K134" s="263"/>
      <c r="L134" s="263"/>
      <c r="M134" s="263"/>
      <c r="N134" s="263"/>
      <c r="O134" s="263"/>
      <c r="P134" s="263"/>
      <c r="Q134" s="263"/>
      <c r="R134" s="263"/>
      <c r="S134" s="263"/>
      <c r="T134" s="264"/>
      <c r="U134" s="244"/>
      <c r="V134" s="425">
        <f t="shared" si="5"/>
        <v>0</v>
      </c>
      <c r="W134" s="17"/>
    </row>
    <row r="135" spans="1:23" ht="12" customHeight="1" x14ac:dyDescent="0.2">
      <c r="A135" s="6"/>
      <c r="B135" s="6"/>
      <c r="C135" s="13"/>
      <c r="D135" s="19">
        <f t="shared" si="4"/>
        <v>124</v>
      </c>
      <c r="E135" s="71" t="str">
        <f>IF(OR('Services - WHC'!E133="",'Services - WHC'!E133="[Enter service]"),"",'Services - WHC'!E133)</f>
        <v/>
      </c>
      <c r="F135" s="72" t="str">
        <f>IF(OR('Services - WHC'!F133="",'Services - WHC'!F133="[Select]"),"",'Services - WHC'!F133)</f>
        <v/>
      </c>
      <c r="G135" s="15"/>
      <c r="H135" s="263"/>
      <c r="I135" s="263"/>
      <c r="J135" s="263"/>
      <c r="K135" s="263"/>
      <c r="L135" s="263"/>
      <c r="M135" s="263"/>
      <c r="N135" s="263"/>
      <c r="O135" s="263"/>
      <c r="P135" s="263"/>
      <c r="Q135" s="263"/>
      <c r="R135" s="263"/>
      <c r="S135" s="263"/>
      <c r="T135" s="264"/>
      <c r="U135" s="244"/>
      <c r="V135" s="425">
        <f t="shared" si="5"/>
        <v>0</v>
      </c>
      <c r="W135" s="17"/>
    </row>
    <row r="136" spans="1:23" ht="12" customHeight="1" x14ac:dyDescent="0.2">
      <c r="A136" s="6"/>
      <c r="B136" s="6"/>
      <c r="C136" s="13"/>
      <c r="D136" s="19">
        <f t="shared" si="4"/>
        <v>125</v>
      </c>
      <c r="E136" s="71" t="str">
        <f>IF(OR('Services - WHC'!E134="",'Services - WHC'!E134="[Enter service]"),"",'Services - WHC'!E134)</f>
        <v/>
      </c>
      <c r="F136" s="72" t="str">
        <f>IF(OR('Services - WHC'!F134="",'Services - WHC'!F134="[Select]"),"",'Services - WHC'!F134)</f>
        <v/>
      </c>
      <c r="G136" s="15"/>
      <c r="H136" s="263"/>
      <c r="I136" s="263"/>
      <c r="J136" s="263"/>
      <c r="K136" s="263"/>
      <c r="L136" s="263"/>
      <c r="M136" s="263"/>
      <c r="N136" s="263"/>
      <c r="O136" s="263"/>
      <c r="P136" s="263"/>
      <c r="Q136" s="263"/>
      <c r="R136" s="263"/>
      <c r="S136" s="263"/>
      <c r="T136" s="264"/>
      <c r="U136" s="244"/>
      <c r="V136" s="425">
        <f t="shared" si="5"/>
        <v>0</v>
      </c>
      <c r="W136" s="17"/>
    </row>
    <row r="137" spans="1:23" ht="12" customHeight="1" x14ac:dyDescent="0.2">
      <c r="A137" s="6"/>
      <c r="B137" s="6"/>
      <c r="C137" s="13"/>
      <c r="D137" s="19">
        <f t="shared" si="4"/>
        <v>126</v>
      </c>
      <c r="E137" s="71" t="str">
        <f>IF(OR('Services - WHC'!E135="",'Services - WHC'!E135="[Enter service]"),"",'Services - WHC'!E135)</f>
        <v/>
      </c>
      <c r="F137" s="72" t="str">
        <f>IF(OR('Services - WHC'!F135="",'Services - WHC'!F135="[Select]"),"",'Services - WHC'!F135)</f>
        <v/>
      </c>
      <c r="G137" s="15"/>
      <c r="H137" s="263"/>
      <c r="I137" s="263"/>
      <c r="J137" s="263"/>
      <c r="K137" s="263"/>
      <c r="L137" s="263"/>
      <c r="M137" s="263"/>
      <c r="N137" s="263"/>
      <c r="O137" s="263"/>
      <c r="P137" s="263"/>
      <c r="Q137" s="263"/>
      <c r="R137" s="263"/>
      <c r="S137" s="263"/>
      <c r="T137" s="264"/>
      <c r="U137" s="244"/>
      <c r="V137" s="425">
        <f t="shared" si="5"/>
        <v>0</v>
      </c>
      <c r="W137" s="17"/>
    </row>
    <row r="138" spans="1:23" ht="12" customHeight="1" x14ac:dyDescent="0.2">
      <c r="A138" s="6"/>
      <c r="B138" s="6"/>
      <c r="C138" s="13"/>
      <c r="D138" s="19">
        <f t="shared" si="4"/>
        <v>127</v>
      </c>
      <c r="E138" s="71" t="str">
        <f>IF(OR('Services - WHC'!E136="",'Services - WHC'!E136="[Enter service]"),"",'Services - WHC'!E136)</f>
        <v/>
      </c>
      <c r="F138" s="72" t="str">
        <f>IF(OR('Services - WHC'!F136="",'Services - WHC'!F136="[Select]"),"",'Services - WHC'!F136)</f>
        <v/>
      </c>
      <c r="G138" s="15"/>
      <c r="H138" s="263"/>
      <c r="I138" s="263"/>
      <c r="J138" s="263"/>
      <c r="K138" s="263"/>
      <c r="L138" s="263"/>
      <c r="M138" s="263"/>
      <c r="N138" s="263"/>
      <c r="O138" s="263"/>
      <c r="P138" s="263"/>
      <c r="Q138" s="263"/>
      <c r="R138" s="263"/>
      <c r="S138" s="263"/>
      <c r="T138" s="264"/>
      <c r="U138" s="244"/>
      <c r="V138" s="425">
        <f t="shared" si="5"/>
        <v>0</v>
      </c>
      <c r="W138" s="17"/>
    </row>
    <row r="139" spans="1:23" ht="12" customHeight="1" x14ac:dyDescent="0.2">
      <c r="A139" s="6"/>
      <c r="B139" s="6"/>
      <c r="C139" s="13"/>
      <c r="D139" s="19">
        <f t="shared" si="4"/>
        <v>128</v>
      </c>
      <c r="E139" s="71" t="str">
        <f>IF(OR('Services - WHC'!E137="",'Services - WHC'!E137="[Enter service]"),"",'Services - WHC'!E137)</f>
        <v/>
      </c>
      <c r="F139" s="72" t="str">
        <f>IF(OR('Services - WHC'!F137="",'Services - WHC'!F137="[Select]"),"",'Services - WHC'!F137)</f>
        <v/>
      </c>
      <c r="G139" s="15"/>
      <c r="H139" s="263"/>
      <c r="I139" s="263"/>
      <c r="J139" s="263"/>
      <c r="K139" s="263"/>
      <c r="L139" s="263"/>
      <c r="M139" s="263"/>
      <c r="N139" s="263"/>
      <c r="O139" s="263"/>
      <c r="P139" s="263"/>
      <c r="Q139" s="263"/>
      <c r="R139" s="263"/>
      <c r="S139" s="263"/>
      <c r="T139" s="264"/>
      <c r="U139" s="244"/>
      <c r="V139" s="425">
        <f t="shared" si="5"/>
        <v>0</v>
      </c>
      <c r="W139" s="17"/>
    </row>
    <row r="140" spans="1:23" ht="12" customHeight="1" x14ac:dyDescent="0.2">
      <c r="A140" s="6"/>
      <c r="B140" s="6"/>
      <c r="C140" s="13"/>
      <c r="D140" s="19">
        <f t="shared" si="4"/>
        <v>129</v>
      </c>
      <c r="E140" s="71" t="str">
        <f>IF(OR('Services - WHC'!E138="",'Services - WHC'!E138="[Enter service]"),"",'Services - WHC'!E138)</f>
        <v/>
      </c>
      <c r="F140" s="72" t="str">
        <f>IF(OR('Services - WHC'!F138="",'Services - WHC'!F138="[Select]"),"",'Services - WHC'!F138)</f>
        <v/>
      </c>
      <c r="G140" s="15"/>
      <c r="H140" s="263"/>
      <c r="I140" s="263"/>
      <c r="J140" s="263"/>
      <c r="K140" s="263"/>
      <c r="L140" s="263"/>
      <c r="M140" s="263"/>
      <c r="N140" s="263"/>
      <c r="O140" s="263"/>
      <c r="P140" s="263"/>
      <c r="Q140" s="263"/>
      <c r="R140" s="263"/>
      <c r="S140" s="263"/>
      <c r="T140" s="264"/>
      <c r="U140" s="244"/>
      <c r="V140" s="425">
        <f t="shared" ref="V140:V153" si="6">SUM(H140:U140)</f>
        <v>0</v>
      </c>
      <c r="W140" s="17"/>
    </row>
    <row r="141" spans="1:23" ht="12" customHeight="1" x14ac:dyDescent="0.2">
      <c r="A141" s="6"/>
      <c r="B141" s="6"/>
      <c r="C141" s="13"/>
      <c r="D141" s="19">
        <f t="shared" si="4"/>
        <v>130</v>
      </c>
      <c r="E141" s="71" t="str">
        <f>IF(OR('Services - WHC'!E139="",'Services - WHC'!E139="[Enter service]"),"",'Services - WHC'!E139)</f>
        <v/>
      </c>
      <c r="F141" s="72" t="str">
        <f>IF(OR('Services - WHC'!F139="",'Services - WHC'!F139="[Select]"),"",'Services - WHC'!F139)</f>
        <v/>
      </c>
      <c r="G141" s="15"/>
      <c r="H141" s="263"/>
      <c r="I141" s="263"/>
      <c r="J141" s="263"/>
      <c r="K141" s="263"/>
      <c r="L141" s="263"/>
      <c r="M141" s="263"/>
      <c r="N141" s="263"/>
      <c r="O141" s="263"/>
      <c r="P141" s="263"/>
      <c r="Q141" s="263"/>
      <c r="R141" s="263"/>
      <c r="S141" s="263"/>
      <c r="T141" s="264"/>
      <c r="U141" s="244"/>
      <c r="V141" s="425">
        <f t="shared" si="6"/>
        <v>0</v>
      </c>
      <c r="W141" s="17"/>
    </row>
    <row r="142" spans="1:23" ht="12" customHeight="1" x14ac:dyDescent="0.2">
      <c r="A142" s="6"/>
      <c r="B142" s="6"/>
      <c r="C142" s="13"/>
      <c r="D142" s="19">
        <f t="shared" ref="D142:D151" si="7">D141+1</f>
        <v>131</v>
      </c>
      <c r="E142" s="71" t="str">
        <f>IF(OR('Services - WHC'!E140="",'Services - WHC'!E140="[Enter service]"),"",'Services - WHC'!E140)</f>
        <v/>
      </c>
      <c r="F142" s="72" t="str">
        <f>IF(OR('Services - WHC'!F140="",'Services - WHC'!F140="[Select]"),"",'Services - WHC'!F140)</f>
        <v/>
      </c>
      <c r="G142" s="15"/>
      <c r="H142" s="263"/>
      <c r="I142" s="263"/>
      <c r="J142" s="263"/>
      <c r="K142" s="263"/>
      <c r="L142" s="263"/>
      <c r="M142" s="263"/>
      <c r="N142" s="263"/>
      <c r="O142" s="263"/>
      <c r="P142" s="263"/>
      <c r="Q142" s="263"/>
      <c r="R142" s="263"/>
      <c r="S142" s="263"/>
      <c r="T142" s="264"/>
      <c r="U142" s="244"/>
      <c r="V142" s="425">
        <f t="shared" si="6"/>
        <v>0</v>
      </c>
      <c r="W142" s="17"/>
    </row>
    <row r="143" spans="1:23" ht="12" customHeight="1" x14ac:dyDescent="0.2">
      <c r="A143" s="6"/>
      <c r="B143" s="6"/>
      <c r="C143" s="13"/>
      <c r="D143" s="19">
        <f t="shared" si="7"/>
        <v>132</v>
      </c>
      <c r="E143" s="71" t="str">
        <f>IF(OR('Services - WHC'!E141="",'Services - WHC'!E141="[Enter service]"),"",'Services - WHC'!E141)</f>
        <v/>
      </c>
      <c r="F143" s="72" t="str">
        <f>IF(OR('Services - WHC'!F141="",'Services - WHC'!F141="[Select]"),"",'Services - WHC'!F141)</f>
        <v/>
      </c>
      <c r="G143" s="15"/>
      <c r="H143" s="263"/>
      <c r="I143" s="263"/>
      <c r="J143" s="263"/>
      <c r="K143" s="263"/>
      <c r="L143" s="263"/>
      <c r="M143" s="263"/>
      <c r="N143" s="263"/>
      <c r="O143" s="263"/>
      <c r="P143" s="263"/>
      <c r="Q143" s="263"/>
      <c r="R143" s="263"/>
      <c r="S143" s="263"/>
      <c r="T143" s="264"/>
      <c r="U143" s="244"/>
      <c r="V143" s="425">
        <f t="shared" si="6"/>
        <v>0</v>
      </c>
      <c r="W143" s="17"/>
    </row>
    <row r="144" spans="1:23" ht="12" customHeight="1" x14ac:dyDescent="0.2">
      <c r="A144" s="6"/>
      <c r="B144" s="6"/>
      <c r="C144" s="13"/>
      <c r="D144" s="19">
        <f t="shared" si="7"/>
        <v>133</v>
      </c>
      <c r="E144" s="71" t="str">
        <f>IF(OR('Services - WHC'!E142="",'Services - WHC'!E142="[Enter service]"),"",'Services - WHC'!E142)</f>
        <v/>
      </c>
      <c r="F144" s="72" t="str">
        <f>IF(OR('Services - WHC'!F142="",'Services - WHC'!F142="[Select]"),"",'Services - WHC'!F142)</f>
        <v/>
      </c>
      <c r="G144" s="15"/>
      <c r="H144" s="263"/>
      <c r="I144" s="263"/>
      <c r="J144" s="263"/>
      <c r="K144" s="263"/>
      <c r="L144" s="263"/>
      <c r="M144" s="263"/>
      <c r="N144" s="263"/>
      <c r="O144" s="263"/>
      <c r="P144" s="263"/>
      <c r="Q144" s="263"/>
      <c r="R144" s="263"/>
      <c r="S144" s="263"/>
      <c r="T144" s="264"/>
      <c r="U144" s="244"/>
      <c r="V144" s="425">
        <f t="shared" si="6"/>
        <v>0</v>
      </c>
      <c r="W144" s="17"/>
    </row>
    <row r="145" spans="1:23" ht="12" customHeight="1" x14ac:dyDescent="0.2">
      <c r="A145" s="6"/>
      <c r="B145" s="6"/>
      <c r="C145" s="13"/>
      <c r="D145" s="19">
        <f t="shared" si="7"/>
        <v>134</v>
      </c>
      <c r="E145" s="71" t="str">
        <f>IF(OR('Services - WHC'!E143="",'Services - WHC'!E143="[Enter service]"),"",'Services - WHC'!E143)</f>
        <v/>
      </c>
      <c r="F145" s="72" t="str">
        <f>IF(OR('Services - WHC'!F143="",'Services - WHC'!F143="[Select]"),"",'Services - WHC'!F143)</f>
        <v/>
      </c>
      <c r="G145" s="15"/>
      <c r="H145" s="263"/>
      <c r="I145" s="263"/>
      <c r="J145" s="263"/>
      <c r="K145" s="263"/>
      <c r="L145" s="263"/>
      <c r="M145" s="263"/>
      <c r="N145" s="263"/>
      <c r="O145" s="263"/>
      <c r="P145" s="263"/>
      <c r="Q145" s="263"/>
      <c r="R145" s="263"/>
      <c r="S145" s="263"/>
      <c r="T145" s="264"/>
      <c r="U145" s="244"/>
      <c r="V145" s="425">
        <f t="shared" si="6"/>
        <v>0</v>
      </c>
      <c r="W145" s="17"/>
    </row>
    <row r="146" spans="1:23" ht="12" customHeight="1" x14ac:dyDescent="0.2">
      <c r="A146" s="6"/>
      <c r="B146" s="6"/>
      <c r="C146" s="13"/>
      <c r="D146" s="19">
        <f t="shared" si="7"/>
        <v>135</v>
      </c>
      <c r="E146" s="71" t="str">
        <f>IF(OR('Services - WHC'!E144="",'Services - WHC'!E144="[Enter service]"),"",'Services - WHC'!E144)</f>
        <v/>
      </c>
      <c r="F146" s="72" t="str">
        <f>IF(OR('Services - WHC'!F144="",'Services - WHC'!F144="[Select]"),"",'Services - WHC'!F144)</f>
        <v/>
      </c>
      <c r="G146" s="15"/>
      <c r="H146" s="263"/>
      <c r="I146" s="263"/>
      <c r="J146" s="263"/>
      <c r="K146" s="263"/>
      <c r="L146" s="263"/>
      <c r="M146" s="263"/>
      <c r="N146" s="263"/>
      <c r="O146" s="263"/>
      <c r="P146" s="263"/>
      <c r="Q146" s="263"/>
      <c r="R146" s="263"/>
      <c r="S146" s="263"/>
      <c r="T146" s="264"/>
      <c r="U146" s="244"/>
      <c r="V146" s="425">
        <f t="shared" si="6"/>
        <v>0</v>
      </c>
      <c r="W146" s="17"/>
    </row>
    <row r="147" spans="1:23" ht="12" customHeight="1" x14ac:dyDescent="0.2">
      <c r="A147" s="6"/>
      <c r="B147" s="6"/>
      <c r="C147" s="13"/>
      <c r="D147" s="19">
        <f t="shared" si="7"/>
        <v>136</v>
      </c>
      <c r="E147" s="71" t="str">
        <f>IF(OR('Services - WHC'!E145="",'Services - WHC'!E145="[Enter service]"),"",'Services - WHC'!E145)</f>
        <v/>
      </c>
      <c r="F147" s="72" t="str">
        <f>IF(OR('Services - WHC'!F145="",'Services - WHC'!F145="[Select]"),"",'Services - WHC'!F145)</f>
        <v/>
      </c>
      <c r="G147" s="15"/>
      <c r="H147" s="263"/>
      <c r="I147" s="263"/>
      <c r="J147" s="263"/>
      <c r="K147" s="263"/>
      <c r="L147" s="263"/>
      <c r="M147" s="263"/>
      <c r="N147" s="263"/>
      <c r="O147" s="263"/>
      <c r="P147" s="263"/>
      <c r="Q147" s="263"/>
      <c r="R147" s="263"/>
      <c r="S147" s="263"/>
      <c r="T147" s="264"/>
      <c r="U147" s="244"/>
      <c r="V147" s="425">
        <f t="shared" si="6"/>
        <v>0</v>
      </c>
      <c r="W147" s="17"/>
    </row>
    <row r="148" spans="1:23" ht="12" customHeight="1" x14ac:dyDescent="0.2">
      <c r="A148" s="6"/>
      <c r="B148" s="6"/>
      <c r="C148" s="13"/>
      <c r="D148" s="19">
        <f t="shared" si="7"/>
        <v>137</v>
      </c>
      <c r="E148" s="71" t="str">
        <f>IF(OR('Services - WHC'!E146="",'Services - WHC'!E146="[Enter service]"),"",'Services - WHC'!E146)</f>
        <v/>
      </c>
      <c r="F148" s="72" t="str">
        <f>IF(OR('Services - WHC'!F146="",'Services - WHC'!F146="[Select]"),"",'Services - WHC'!F146)</f>
        <v/>
      </c>
      <c r="G148" s="15"/>
      <c r="H148" s="263"/>
      <c r="I148" s="263"/>
      <c r="J148" s="263"/>
      <c r="K148" s="263"/>
      <c r="L148" s="263"/>
      <c r="M148" s="263"/>
      <c r="N148" s="263"/>
      <c r="O148" s="263"/>
      <c r="P148" s="263"/>
      <c r="Q148" s="263"/>
      <c r="R148" s="263"/>
      <c r="S148" s="263"/>
      <c r="T148" s="264"/>
      <c r="U148" s="244"/>
      <c r="V148" s="425">
        <f t="shared" si="6"/>
        <v>0</v>
      </c>
      <c r="W148" s="17"/>
    </row>
    <row r="149" spans="1:23" ht="12" customHeight="1" x14ac:dyDescent="0.2">
      <c r="A149" s="6"/>
      <c r="B149" s="6"/>
      <c r="C149" s="13"/>
      <c r="D149" s="19">
        <f t="shared" si="7"/>
        <v>138</v>
      </c>
      <c r="E149" s="71" t="str">
        <f>IF(OR('Services - WHC'!E147="",'Services - WHC'!E147="[Enter service]"),"",'Services - WHC'!E147)</f>
        <v/>
      </c>
      <c r="F149" s="72" t="str">
        <f>IF(OR('Services - WHC'!F147="",'Services - WHC'!F147="[Select]"),"",'Services - WHC'!F147)</f>
        <v/>
      </c>
      <c r="G149" s="15"/>
      <c r="H149" s="263"/>
      <c r="I149" s="263"/>
      <c r="J149" s="263"/>
      <c r="K149" s="263"/>
      <c r="L149" s="263"/>
      <c r="M149" s="263"/>
      <c r="N149" s="263"/>
      <c r="O149" s="263"/>
      <c r="P149" s="263"/>
      <c r="Q149" s="263"/>
      <c r="R149" s="263"/>
      <c r="S149" s="263"/>
      <c r="T149" s="264"/>
      <c r="U149" s="244"/>
      <c r="V149" s="425">
        <f t="shared" si="6"/>
        <v>0</v>
      </c>
      <c r="W149" s="17"/>
    </row>
    <row r="150" spans="1:23" ht="12" customHeight="1" x14ac:dyDescent="0.2">
      <c r="A150" s="6"/>
      <c r="B150" s="6"/>
      <c r="C150" s="13"/>
      <c r="D150" s="19">
        <f t="shared" si="7"/>
        <v>139</v>
      </c>
      <c r="E150" s="71" t="str">
        <f>IF(OR('Services - WHC'!E148="",'Services - WHC'!E148="[Enter service]"),"",'Services - WHC'!E148)</f>
        <v/>
      </c>
      <c r="F150" s="72" t="str">
        <f>IF(OR('Services - WHC'!F148="",'Services - WHC'!F148="[Select]"),"",'Services - WHC'!F148)</f>
        <v/>
      </c>
      <c r="G150" s="15"/>
      <c r="H150" s="263"/>
      <c r="I150" s="263"/>
      <c r="J150" s="263"/>
      <c r="K150" s="263"/>
      <c r="L150" s="263"/>
      <c r="M150" s="263"/>
      <c r="N150" s="263"/>
      <c r="O150" s="263"/>
      <c r="P150" s="263"/>
      <c r="Q150" s="263"/>
      <c r="R150" s="263"/>
      <c r="S150" s="263"/>
      <c r="T150" s="264"/>
      <c r="U150" s="244"/>
      <c r="V150" s="425">
        <f t="shared" si="6"/>
        <v>0</v>
      </c>
      <c r="W150" s="17"/>
    </row>
    <row r="151" spans="1:23" ht="12" customHeight="1" x14ac:dyDescent="0.2">
      <c r="A151" s="6"/>
      <c r="B151" s="6"/>
      <c r="C151" s="13"/>
      <c r="D151" s="19">
        <f t="shared" si="7"/>
        <v>140</v>
      </c>
      <c r="E151" s="71" t="str">
        <f>IF(OR('Services - WHC'!E149="",'Services - WHC'!E149="[Enter service]"),"",'Services - WHC'!E149)</f>
        <v/>
      </c>
      <c r="F151" s="72" t="str">
        <f>IF(OR('Services - WHC'!F149="",'Services - WHC'!F149="[Select]"),"",'Services - WHC'!F149)</f>
        <v/>
      </c>
      <c r="G151" s="15"/>
      <c r="H151" s="263"/>
      <c r="I151" s="263"/>
      <c r="J151" s="263"/>
      <c r="K151" s="263"/>
      <c r="L151" s="263"/>
      <c r="M151" s="263"/>
      <c r="N151" s="263"/>
      <c r="O151" s="263"/>
      <c r="P151" s="263"/>
      <c r="Q151" s="263"/>
      <c r="R151" s="263"/>
      <c r="S151" s="263"/>
      <c r="T151" s="264"/>
      <c r="U151" s="244"/>
      <c r="V151" s="425">
        <f t="shared" si="6"/>
        <v>0</v>
      </c>
      <c r="W151" s="17"/>
    </row>
    <row r="152" spans="1:23" ht="12" customHeight="1" thickBot="1" x14ac:dyDescent="0.25">
      <c r="A152" s="6"/>
      <c r="B152" s="6"/>
      <c r="C152" s="13"/>
      <c r="D152" s="14"/>
      <c r="E152" s="75" t="s">
        <v>88</v>
      </c>
      <c r="F152" s="76"/>
      <c r="G152" s="15"/>
      <c r="H152" s="242"/>
      <c r="I152" s="242"/>
      <c r="J152" s="242"/>
      <c r="K152" s="242"/>
      <c r="L152" s="242"/>
      <c r="M152" s="242"/>
      <c r="N152" s="242"/>
      <c r="O152" s="242"/>
      <c r="P152" s="242"/>
      <c r="Q152" s="242"/>
      <c r="R152" s="242"/>
      <c r="S152" s="242"/>
      <c r="T152" s="243"/>
      <c r="U152" s="244"/>
      <c r="V152" s="429">
        <f t="shared" si="6"/>
        <v>0</v>
      </c>
      <c r="W152" s="17"/>
    </row>
    <row r="153" spans="1:23" s="28" customFormat="1" ht="12" customHeight="1" thickTop="1" x14ac:dyDescent="0.2">
      <c r="A153" s="23"/>
      <c r="B153" s="23"/>
      <c r="C153" s="24"/>
      <c r="D153" s="14"/>
      <c r="E153" s="50" t="s">
        <v>87</v>
      </c>
      <c r="F153" s="51"/>
      <c r="G153" s="15"/>
      <c r="H153" s="426">
        <f t="shared" ref="H153:T153" si="8">+SUM(H12:H152)</f>
        <v>108000</v>
      </c>
      <c r="I153" s="426">
        <f t="shared" si="8"/>
        <v>1971730.0621519531</v>
      </c>
      <c r="J153" s="426">
        <f t="shared" si="8"/>
        <v>775900</v>
      </c>
      <c r="K153" s="426">
        <f t="shared" si="8"/>
        <v>3000</v>
      </c>
      <c r="L153" s="426">
        <f t="shared" si="8"/>
        <v>231300</v>
      </c>
      <c r="M153" s="426">
        <f t="shared" si="8"/>
        <v>2616451</v>
      </c>
      <c r="N153" s="426">
        <f t="shared" si="8"/>
        <v>12500</v>
      </c>
      <c r="O153" s="426">
        <f t="shared" si="8"/>
        <v>5000</v>
      </c>
      <c r="P153" s="426">
        <f t="shared" si="8"/>
        <v>0</v>
      </c>
      <c r="Q153" s="426">
        <f t="shared" si="8"/>
        <v>234200</v>
      </c>
      <c r="R153" s="426">
        <f t="shared" si="8"/>
        <v>0</v>
      </c>
      <c r="S153" s="426">
        <f t="shared" si="8"/>
        <v>0</v>
      </c>
      <c r="T153" s="426">
        <f t="shared" si="8"/>
        <v>0</v>
      </c>
      <c r="U153" s="428"/>
      <c r="V153" s="427">
        <f t="shared" si="6"/>
        <v>5958081.0621519536</v>
      </c>
      <c r="W153" s="27"/>
    </row>
    <row r="154" spans="1:23" ht="12.6" customHeight="1" thickBot="1" x14ac:dyDescent="0.25">
      <c r="A154" s="6"/>
      <c r="B154" s="6"/>
      <c r="C154" s="32"/>
      <c r="D154" s="33"/>
      <c r="E154" s="34"/>
      <c r="F154" s="35"/>
      <c r="G154" s="35"/>
      <c r="H154" s="35"/>
      <c r="I154" s="120"/>
      <c r="J154" s="120"/>
      <c r="K154" s="120"/>
      <c r="L154" s="120"/>
      <c r="M154" s="33"/>
      <c r="N154" s="36"/>
      <c r="O154" s="397"/>
      <c r="P154" s="397"/>
      <c r="Q154" s="397"/>
      <c r="R154" s="397"/>
      <c r="S154" s="397"/>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95"/>
      <c r="D158" s="296"/>
      <c r="E158" s="296"/>
      <c r="F158" s="297"/>
      <c r="G158" s="297"/>
      <c r="H158" s="298"/>
      <c r="I158" s="3"/>
      <c r="J158" s="3"/>
      <c r="K158" s="3"/>
      <c r="L158" s="3"/>
      <c r="M158" s="42"/>
      <c r="N158" s="16"/>
      <c r="O158" s="16"/>
    </row>
    <row r="159" spans="1:23" ht="15" x14ac:dyDescent="0.2">
      <c r="B159" s="42"/>
      <c r="C159" s="299"/>
      <c r="D159" s="16"/>
      <c r="E159" s="300" t="s">
        <v>212</v>
      </c>
      <c r="F159" s="15"/>
      <c r="G159" s="15"/>
      <c r="H159" s="31"/>
      <c r="I159" s="3"/>
      <c r="J159" s="3"/>
      <c r="K159" s="3"/>
      <c r="L159" s="3"/>
      <c r="M159" s="42"/>
      <c r="N159" s="16"/>
      <c r="O159" s="16"/>
    </row>
    <row r="160" spans="1:23" ht="15" x14ac:dyDescent="0.2">
      <c r="B160" s="42"/>
      <c r="C160" s="299"/>
      <c r="D160" s="16"/>
      <c r="E160" s="3" t="s">
        <v>216</v>
      </c>
      <c r="F160" s="15" t="s">
        <v>209</v>
      </c>
      <c r="G160" s="301"/>
      <c r="H160" s="17"/>
      <c r="I160" s="3"/>
      <c r="J160" s="3"/>
      <c r="K160" s="3"/>
      <c r="L160" s="3"/>
      <c r="M160" s="42"/>
      <c r="N160" s="16"/>
      <c r="O160" s="16"/>
    </row>
    <row r="161" spans="2:15" ht="15" x14ac:dyDescent="0.2">
      <c r="B161" s="42"/>
      <c r="C161" s="299"/>
      <c r="D161" s="16"/>
      <c r="E161" s="302" t="s">
        <v>211</v>
      </c>
      <c r="F161" s="303"/>
      <c r="G161" s="304"/>
      <c r="H161" s="17"/>
      <c r="I161" s="3"/>
      <c r="J161" s="3"/>
      <c r="K161" s="3"/>
      <c r="L161" s="3"/>
      <c r="M161" s="42"/>
      <c r="N161" s="16"/>
      <c r="O161" s="16"/>
    </row>
    <row r="162" spans="2:15" ht="15" x14ac:dyDescent="0.2">
      <c r="B162" s="42"/>
      <c r="C162" s="299"/>
      <c r="D162" s="16"/>
      <c r="E162" s="302" t="s">
        <v>211</v>
      </c>
      <c r="F162" s="303"/>
      <c r="G162" s="304"/>
      <c r="H162" s="17"/>
      <c r="I162" s="3"/>
      <c r="J162" s="3"/>
      <c r="K162" s="3"/>
      <c r="L162" s="3"/>
      <c r="M162" s="42"/>
      <c r="N162" s="16"/>
      <c r="O162" s="16"/>
    </row>
    <row r="163" spans="2:15" ht="15" x14ac:dyDescent="0.2">
      <c r="B163" s="42"/>
      <c r="C163" s="299"/>
      <c r="D163" s="16"/>
      <c r="E163" s="302" t="s">
        <v>211</v>
      </c>
      <c r="F163" s="303"/>
      <c r="G163" s="304"/>
      <c r="H163" s="17"/>
      <c r="I163" s="3"/>
      <c r="J163" s="3"/>
      <c r="K163" s="3"/>
      <c r="L163" s="3"/>
      <c r="M163" s="42"/>
      <c r="N163" s="16"/>
      <c r="O163" s="16"/>
    </row>
    <row r="164" spans="2:15" ht="15" x14ac:dyDescent="0.2">
      <c r="B164" s="42"/>
      <c r="C164" s="299"/>
      <c r="D164" s="16"/>
      <c r="E164" s="302" t="s">
        <v>211</v>
      </c>
      <c r="F164" s="303"/>
      <c r="G164" s="304"/>
      <c r="H164" s="17"/>
      <c r="I164" s="3"/>
      <c r="J164" s="3"/>
      <c r="K164" s="3"/>
      <c r="L164" s="3"/>
      <c r="M164" s="42"/>
      <c r="N164" s="16"/>
      <c r="O164" s="16"/>
    </row>
    <row r="165" spans="2:15" ht="15" x14ac:dyDescent="0.2">
      <c r="B165" s="42"/>
      <c r="C165" s="299"/>
      <c r="D165" s="16"/>
      <c r="E165" s="302" t="s">
        <v>211</v>
      </c>
      <c r="F165" s="303"/>
      <c r="G165" s="304"/>
      <c r="H165" s="17"/>
      <c r="I165" s="3"/>
      <c r="J165" s="3"/>
      <c r="K165" s="3"/>
      <c r="L165" s="3"/>
      <c r="M165" s="42"/>
      <c r="N165" s="16"/>
      <c r="O165" s="16"/>
    </row>
    <row r="166" spans="2:15" ht="15" x14ac:dyDescent="0.2">
      <c r="B166" s="42"/>
      <c r="C166" s="299"/>
      <c r="D166" s="16"/>
      <c r="E166" s="302" t="s">
        <v>211</v>
      </c>
      <c r="F166" s="303"/>
      <c r="G166" s="304"/>
      <c r="H166" s="17"/>
      <c r="I166" s="3"/>
      <c r="J166" s="3"/>
      <c r="K166" s="3"/>
      <c r="L166" s="3"/>
      <c r="M166" s="42"/>
      <c r="N166" s="16"/>
      <c r="O166" s="16"/>
    </row>
    <row r="167" spans="2:15" ht="15" x14ac:dyDescent="0.2">
      <c r="B167" s="42"/>
      <c r="C167" s="299"/>
      <c r="D167" s="16"/>
      <c r="E167" s="302" t="s">
        <v>211</v>
      </c>
      <c r="F167" s="303"/>
      <c r="G167" s="304"/>
      <c r="H167" s="17"/>
      <c r="I167" s="3"/>
      <c r="J167" s="3"/>
      <c r="K167" s="3"/>
      <c r="L167" s="3"/>
      <c r="M167" s="42"/>
    </row>
    <row r="168" spans="2:15" ht="15" x14ac:dyDescent="0.2">
      <c r="B168" s="42"/>
      <c r="C168" s="299"/>
      <c r="D168" s="16"/>
      <c r="E168" s="302" t="s">
        <v>211</v>
      </c>
      <c r="F168" s="303"/>
      <c r="G168" s="304"/>
      <c r="H168" s="17"/>
      <c r="I168" s="3"/>
      <c r="J168" s="3"/>
      <c r="K168" s="3"/>
      <c r="L168" s="3"/>
      <c r="M168" s="42"/>
    </row>
    <row r="169" spans="2:15" ht="15" x14ac:dyDescent="0.2">
      <c r="B169" s="42"/>
      <c r="C169" s="299"/>
      <c r="D169" s="16"/>
      <c r="E169" s="302" t="s">
        <v>211</v>
      </c>
      <c r="F169" s="303"/>
      <c r="G169" s="304"/>
      <c r="H169" s="17"/>
      <c r="I169" s="3"/>
      <c r="J169" s="3"/>
      <c r="K169" s="3"/>
      <c r="L169" s="3"/>
      <c r="M169" s="42"/>
    </row>
    <row r="170" spans="2:15" ht="15" x14ac:dyDescent="0.2">
      <c r="B170" s="42"/>
      <c r="C170" s="299"/>
      <c r="D170" s="16"/>
      <c r="E170" s="302" t="s">
        <v>211</v>
      </c>
      <c r="F170" s="303"/>
      <c r="G170" s="304"/>
      <c r="H170" s="17"/>
      <c r="I170" s="3"/>
      <c r="J170" s="3"/>
      <c r="K170" s="3"/>
      <c r="L170" s="3"/>
      <c r="M170" s="42"/>
    </row>
    <row r="171" spans="2:15" ht="15" x14ac:dyDescent="0.2">
      <c r="B171" s="42"/>
      <c r="C171" s="299"/>
      <c r="D171" s="16"/>
      <c r="E171" s="302" t="s">
        <v>211</v>
      </c>
      <c r="F171" s="303"/>
      <c r="G171" s="304"/>
      <c r="H171" s="17"/>
      <c r="I171" s="3"/>
      <c r="J171" s="3"/>
      <c r="K171" s="3"/>
      <c r="L171" s="3"/>
      <c r="M171" s="42"/>
    </row>
    <row r="172" spans="2:15" ht="15" x14ac:dyDescent="0.2">
      <c r="B172" s="42"/>
      <c r="C172" s="299"/>
      <c r="D172" s="16"/>
      <c r="E172" s="302" t="s">
        <v>211</v>
      </c>
      <c r="F172" s="303"/>
      <c r="G172" s="304"/>
      <c r="H172" s="17"/>
      <c r="I172" s="3"/>
      <c r="J172" s="3"/>
      <c r="K172" s="3"/>
      <c r="L172" s="3"/>
      <c r="M172" s="42"/>
    </row>
    <row r="173" spans="2:15" ht="15" x14ac:dyDescent="0.2">
      <c r="B173" s="42"/>
      <c r="C173" s="299"/>
      <c r="D173" s="16"/>
      <c r="E173" s="302" t="s">
        <v>211</v>
      </c>
      <c r="F173" s="303"/>
      <c r="G173" s="304"/>
      <c r="H173" s="17"/>
      <c r="I173" s="3"/>
      <c r="J173" s="3"/>
      <c r="K173" s="3"/>
      <c r="L173" s="3"/>
      <c r="M173" s="42"/>
    </row>
    <row r="174" spans="2:15" ht="15" x14ac:dyDescent="0.2">
      <c r="B174" s="42"/>
      <c r="C174" s="299"/>
      <c r="D174" s="16"/>
      <c r="E174" s="305" t="s">
        <v>87</v>
      </c>
      <c r="F174" s="306">
        <f>SUM(F161:F173)</f>
        <v>0</v>
      </c>
      <c r="G174" s="306"/>
      <c r="H174" s="17"/>
      <c r="I174" s="3"/>
      <c r="J174" s="3"/>
      <c r="K174" s="3"/>
      <c r="L174" s="3"/>
      <c r="M174" s="42"/>
    </row>
    <row r="175" spans="2:15" ht="15" x14ac:dyDescent="0.2">
      <c r="B175" s="42"/>
      <c r="C175" s="299"/>
      <c r="D175" s="16"/>
      <c r="E175" s="305"/>
      <c r="F175" s="307"/>
      <c r="G175" s="307"/>
      <c r="H175" s="17"/>
      <c r="I175" s="3"/>
      <c r="J175" s="3"/>
      <c r="K175" s="3"/>
      <c r="L175" s="3"/>
      <c r="M175" s="42"/>
    </row>
    <row r="176" spans="2:15" x14ac:dyDescent="0.2">
      <c r="C176" s="299"/>
      <c r="D176" s="16"/>
      <c r="E176" s="305" t="s">
        <v>213</v>
      </c>
      <c r="F176" s="308">
        <f>V152</f>
        <v>0</v>
      </c>
      <c r="G176" s="308"/>
      <c r="H176" s="17"/>
      <c r="I176" s="3"/>
      <c r="J176" s="3"/>
      <c r="K176" s="3"/>
      <c r="L176" s="3"/>
    </row>
    <row r="177" spans="3:12" x14ac:dyDescent="0.2">
      <c r="C177" s="299"/>
      <c r="D177" s="16"/>
      <c r="E177" s="30" t="s">
        <v>189</v>
      </c>
      <c r="F177" s="316">
        <f>F174-F176</f>
        <v>0</v>
      </c>
      <c r="G177" s="308"/>
      <c r="H177" s="17"/>
      <c r="I177" s="3"/>
      <c r="J177" s="3"/>
      <c r="K177" s="3"/>
      <c r="L177" s="3"/>
    </row>
    <row r="178" spans="3:12" ht="14.25" x14ac:dyDescent="0.2">
      <c r="C178" s="299"/>
      <c r="D178" s="16"/>
      <c r="E178" s="310" t="s">
        <v>210</v>
      </c>
      <c r="F178" s="321" t="str">
        <f>IF(F177="","",IF(F177=0,"OK","ISSUE"))</f>
        <v>OK</v>
      </c>
      <c r="G178" s="309"/>
      <c r="H178" s="17"/>
      <c r="I178" s="3"/>
      <c r="J178" s="3"/>
      <c r="K178" s="3"/>
      <c r="L178" s="3"/>
    </row>
    <row r="179" spans="3:12" x14ac:dyDescent="0.2">
      <c r="C179" s="299"/>
      <c r="D179" s="16"/>
      <c r="G179" s="311"/>
      <c r="H179" s="17"/>
      <c r="I179" s="3"/>
      <c r="J179" s="3"/>
      <c r="K179" s="3"/>
      <c r="L179" s="3"/>
    </row>
    <row r="180" spans="3:12" ht="13.5" thickBot="1" x14ac:dyDescent="0.25">
      <c r="C180" s="312"/>
      <c r="D180" s="313"/>
      <c r="E180" s="313"/>
      <c r="F180" s="314"/>
      <c r="G180" s="314"/>
      <c r="H180" s="315"/>
      <c r="I180" s="3"/>
      <c r="J180" s="3"/>
      <c r="K180" s="3"/>
      <c r="L180" s="3"/>
    </row>
    <row r="244" ht="13.5" customHeight="1" x14ac:dyDescent="0.2"/>
  </sheetData>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J111" activePane="bottomRight" state="frozen"/>
      <selection activeCell="A10" sqref="A10"/>
      <selection pane="topRight" activeCell="A10" sqref="A10"/>
      <selection pane="bottomLeft" activeCell="A10" sqref="A10"/>
      <selection pane="bottomRight" activeCell="Y111" sqref="Y1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Queenscliffe (B)</v>
      </c>
      <c r="C3" s="49"/>
      <c r="F3" s="6"/>
      <c r="G3" s="6"/>
      <c r="Q3" s="8"/>
    </row>
    <row r="4" spans="1:19" ht="13.5" thickBot="1" x14ac:dyDescent="0.25">
      <c r="B4" s="764"/>
      <c r="C4" s="764"/>
      <c r="D4" s="764"/>
      <c r="E4" s="764"/>
    </row>
    <row r="5" spans="1:19" ht="10.5" customHeight="1" x14ac:dyDescent="0.2">
      <c r="C5" s="9"/>
      <c r="D5" s="10"/>
      <c r="E5" s="10"/>
      <c r="F5" s="11"/>
      <c r="G5" s="119"/>
      <c r="H5" s="10"/>
      <c r="I5" s="10"/>
      <c r="J5" s="320"/>
      <c r="K5" s="320"/>
      <c r="L5" s="320"/>
      <c r="M5" s="320"/>
      <c r="N5" s="320"/>
      <c r="O5" s="320"/>
      <c r="P5" s="10"/>
      <c r="Q5" s="10"/>
      <c r="R5" s="10"/>
      <c r="S5" s="47"/>
    </row>
    <row r="6" spans="1:19" ht="13.5" customHeight="1" x14ac:dyDescent="0.2">
      <c r="C6" s="13"/>
      <c r="D6" s="45"/>
      <c r="E6" s="46"/>
      <c r="H6" s="768" t="str">
        <f>VLOOKUP(' Instructions'!C9,' Instructions'!Q9:U15,2,FALSE)</f>
        <v>2017-18</v>
      </c>
      <c r="I6" s="769"/>
      <c r="J6" s="770"/>
      <c r="K6" s="770"/>
      <c r="L6" s="770"/>
      <c r="M6" s="770"/>
      <c r="N6" s="770"/>
      <c r="O6" s="770"/>
      <c r="P6" s="769"/>
      <c r="Q6" s="769"/>
      <c r="R6" s="771"/>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106" t="s">
        <v>113</v>
      </c>
      <c r="G8" s="26"/>
      <c r="H8" s="392" t="s">
        <v>79</v>
      </c>
      <c r="I8" s="392" t="s">
        <v>80</v>
      </c>
      <c r="J8" s="398" t="s">
        <v>260</v>
      </c>
      <c r="K8" s="392" t="s">
        <v>141</v>
      </c>
      <c r="L8" s="398" t="s">
        <v>338</v>
      </c>
      <c r="M8" s="398" t="s">
        <v>339</v>
      </c>
      <c r="N8" s="63" t="s">
        <v>82</v>
      </c>
      <c r="O8" s="401" t="s">
        <v>340</v>
      </c>
      <c r="P8" s="401" t="s">
        <v>335</v>
      </c>
      <c r="Q8" s="401" t="s">
        <v>337</v>
      </c>
      <c r="R8" s="107" t="s">
        <v>83</v>
      </c>
      <c r="S8" s="31"/>
    </row>
    <row r="9" spans="1:19" x14ac:dyDescent="0.2">
      <c r="C9" s="13"/>
      <c r="D9" s="14"/>
      <c r="E9" s="54"/>
      <c r="F9" s="150"/>
      <c r="G9" s="26"/>
      <c r="H9" s="150" t="s">
        <v>165</v>
      </c>
      <c r="I9" s="150" t="s">
        <v>165</v>
      </c>
      <c r="J9" s="150" t="s">
        <v>165</v>
      </c>
      <c r="K9" s="150" t="s">
        <v>165</v>
      </c>
      <c r="L9" s="150" t="s">
        <v>165</v>
      </c>
      <c r="M9" s="150" t="s">
        <v>165</v>
      </c>
      <c r="N9" s="150" t="s">
        <v>165</v>
      </c>
      <c r="O9" s="150" t="s">
        <v>165</v>
      </c>
      <c r="P9" s="150" t="s">
        <v>165</v>
      </c>
      <c r="Q9" s="150" t="s">
        <v>165</v>
      </c>
      <c r="R9" s="150"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7" t="str">
        <f>IF(OR('Services - WHC'!E10="",'Services - WHC'!E10="[Enter service]"),"",'Services - WHC'!E10)</f>
        <v>Aged Services</v>
      </c>
      <c r="F11" s="68" t="str">
        <f>IF(OR('Services - WHC'!F10="",'Services - WHC'!F10="[Select]"),"",'Services - WHC'!F10)</f>
        <v>External</v>
      </c>
      <c r="G11" s="26"/>
      <c r="H11" s="236">
        <f>GETPIVOTDATA("Sum of 2017/18",'[4]ESC Employees'!$A$3,"Stat of Inc &amp; Exp (Available Cash)","Employee costs","Strategic Objectives (KSAs)","SO1 - 01 - Aged and Disability Services - Exp")</f>
        <v>516400</v>
      </c>
      <c r="I11" s="236">
        <f>GETPIVOTDATA("Sum of 2017/18",'[4]ESC Mat &amp; Serv'!$A$3,"Stat of Inc &amp; Exp (Available Cash)","Materials and services","Strategic Objectives (KSAs)","SO1 - 01 - Aged and Disability Services - Exp")</f>
        <v>146100</v>
      </c>
      <c r="J11" s="69"/>
      <c r="K11" s="69"/>
      <c r="L11" s="69"/>
      <c r="M11" s="69"/>
      <c r="N11" s="69"/>
      <c r="O11" s="69"/>
      <c r="P11" s="69"/>
      <c r="Q11" s="69"/>
      <c r="R11" s="424">
        <f>SUM(H11:Q11)</f>
        <v>662500</v>
      </c>
      <c r="S11" s="31"/>
    </row>
    <row r="12" spans="1:19" ht="12" customHeight="1" x14ac:dyDescent="0.2">
      <c r="C12" s="13"/>
      <c r="D12" s="19">
        <f>'Revenue - WHC'!D13</f>
        <v>2</v>
      </c>
      <c r="E12" s="71" t="str">
        <f>IF(OR('Services - WHC'!E11="",'Services - WHC'!E11="[Enter service]"),"",'Services - WHC'!E11)</f>
        <v>Active Communities</v>
      </c>
      <c r="F12" s="72" t="str">
        <f>IF(OR('Services - WHC'!F11="",'Services - WHC'!F11="[Select]"),"",'Services - WHC'!F11)</f>
        <v>External</v>
      </c>
      <c r="G12" s="26"/>
      <c r="H12" s="73">
        <f>GETPIVOTDATA("Sum of 2017/18",'[4]ESC Employees'!$A$3,"Stat of Inc &amp; Exp (Available Cash)","Employee costs","Strategic Objectives (KSAs)","SO1 - 02 - Active Communities - Exp")</f>
        <v>90700</v>
      </c>
      <c r="I12" s="73">
        <f>GETPIVOTDATA("Sum of 2017/18",'[4]ESC Mat &amp; Serv'!$A$3,"Stat of Inc &amp; Exp (Available Cash)","Materials and services","Strategic Objectives (KSAs)","SO1 - 02 - Active Communities - Exp")</f>
        <v>112000</v>
      </c>
      <c r="J12" s="73"/>
      <c r="K12" s="73"/>
      <c r="L12" s="73"/>
      <c r="M12" s="73"/>
      <c r="N12" s="73"/>
      <c r="O12" s="73"/>
      <c r="P12" s="73"/>
      <c r="Q12" s="73"/>
      <c r="R12" s="425">
        <f t="shared" ref="R12:R75" si="0">SUM(H12:Q12)</f>
        <v>202700</v>
      </c>
      <c r="S12" s="31"/>
    </row>
    <row r="13" spans="1:19" ht="12" customHeight="1" x14ac:dyDescent="0.2">
      <c r="C13" s="13"/>
      <c r="D13" s="19">
        <f>'Revenue - WHC'!D14</f>
        <v>3</v>
      </c>
      <c r="E13" s="71" t="str">
        <f>IF(OR('Services - WHC'!E12="",'Services - WHC'!E12="[Enter service]"),"",'Services - WHC'!E12)</f>
        <v>Community Events</v>
      </c>
      <c r="F13" s="72" t="str">
        <f>IF(OR('Services - WHC'!F12="",'Services - WHC'!F12="[Select]"),"",'Services - WHC'!F12)</f>
        <v>External</v>
      </c>
      <c r="G13" s="26"/>
      <c r="H13" s="73">
        <f>GETPIVOTDATA("Sum of 2017/18",'[4]ESC Employees'!$A$3,"Stat of Inc &amp; Exp (Available Cash)","Employee costs","Strategic Objectives (KSAs)","SO1 - 03 - Community Events - Exp")</f>
        <v>37500</v>
      </c>
      <c r="I13" s="73">
        <f>GETPIVOTDATA("Sum of 2017/18",'[4]ESC Mat &amp; Serv'!$A$3,"Stat of Inc &amp; Exp (Available Cash)","Materials and services","Strategic Objectives (KSAs)","SO1 - 03 - Community Events - Exp")</f>
        <v>67100</v>
      </c>
      <c r="J13" s="73"/>
      <c r="K13" s="73"/>
      <c r="L13" s="73"/>
      <c r="M13" s="73"/>
      <c r="N13" s="73"/>
      <c r="O13" s="73"/>
      <c r="P13" s="73"/>
      <c r="Q13" s="73"/>
      <c r="R13" s="425">
        <f t="shared" si="0"/>
        <v>104600</v>
      </c>
      <c r="S13" s="31"/>
    </row>
    <row r="14" spans="1:19" ht="12" customHeight="1" x14ac:dyDescent="0.2">
      <c r="C14" s="13"/>
      <c r="D14" s="19">
        <f>'Revenue - WHC'!D15</f>
        <v>4</v>
      </c>
      <c r="E14" s="71" t="str">
        <f>IF(OR('Services - WHC'!E13="",'Services - WHC'!E13="[Enter service]"),"",'Services - WHC'!E13)</f>
        <v>Maternal and Child Health (MCH)</v>
      </c>
      <c r="F14" s="72" t="str">
        <f>IF(OR('Services - WHC'!F13="",'Services - WHC'!F13="[Select]"),"",'Services - WHC'!F13)</f>
        <v>External</v>
      </c>
      <c r="G14" s="26"/>
      <c r="H14" s="73"/>
      <c r="I14" s="73">
        <f>GETPIVOTDATA("Sum of 2017/18",'[4]ESC Mat &amp; Serv'!$A$3,"Stat of Inc &amp; Exp (Available Cash)","Materials and services","Strategic Objectives (KSAs)","SO1 - 04 - Maternal and Child Health (MCH) Exp")</f>
        <v>62000</v>
      </c>
      <c r="J14" s="73"/>
      <c r="K14" s="73"/>
      <c r="L14" s="73"/>
      <c r="M14" s="73"/>
      <c r="N14" s="73"/>
      <c r="O14" s="73"/>
      <c r="P14" s="73"/>
      <c r="Q14" s="73"/>
      <c r="R14" s="425">
        <f t="shared" si="0"/>
        <v>62000</v>
      </c>
      <c r="S14" s="31"/>
    </row>
    <row r="15" spans="1:19" ht="12" customHeight="1" x14ac:dyDescent="0.2">
      <c r="C15" s="13"/>
      <c r="D15" s="19">
        <f>'Revenue - WHC'!D16</f>
        <v>5</v>
      </c>
      <c r="E15" s="71" t="str">
        <f>IF(OR('Services - WHC'!E14="",'Services - WHC'!E14="[Enter service]"),"",'Services - WHC'!E14)</f>
        <v>Kindergarten</v>
      </c>
      <c r="F15" s="72" t="str">
        <f>IF(OR('Services - WHC'!F14="",'Services - WHC'!F14="[Select]"),"",'Services - WHC'!F14)</f>
        <v>External</v>
      </c>
      <c r="G15" s="26"/>
      <c r="H15" s="73"/>
      <c r="I15" s="73"/>
      <c r="J15" s="73"/>
      <c r="K15" s="73"/>
      <c r="L15" s="73"/>
      <c r="M15" s="73"/>
      <c r="N15" s="73"/>
      <c r="O15" s="73"/>
      <c r="P15" s="73"/>
      <c r="Q15" s="73"/>
      <c r="R15" s="425">
        <f t="shared" si="0"/>
        <v>0</v>
      </c>
      <c r="S15" s="31"/>
    </row>
    <row r="16" spans="1:19" ht="12" customHeight="1" x14ac:dyDescent="0.2">
      <c r="C16" s="13"/>
      <c r="D16" s="19">
        <f>'Revenue - WHC'!D17</f>
        <v>6</v>
      </c>
      <c r="E16" s="71" t="str">
        <f>IF(OR('Services - WHC'!E15="",'Services - WHC'!E15="[Enter service]"),"",'Services - WHC'!E15)</f>
        <v>Environmental Health</v>
      </c>
      <c r="F16" s="72" t="str">
        <f>IF(OR('Services - WHC'!F15="",'Services - WHC'!F15="[Select]"),"",'Services - WHC'!F15)</f>
        <v>External</v>
      </c>
      <c r="G16" s="26"/>
      <c r="H16" s="73">
        <f>GETPIVOTDATA("Sum of 2017/18",'[4]ESC Employees'!$A$3,"Stat of Inc &amp; Exp (Available Cash)","Employee costs","Strategic Objectives (KSAs)","SO1 - 06 - Environmental Health Exp")-H23</f>
        <v>67510.219507982998</v>
      </c>
      <c r="I16" s="73">
        <f>GETPIVOTDATA("Sum of 2017/18",'[4]ESC Mat &amp; Serv'!$A$3,"Stat of Inc &amp; Exp (Available Cash)","Materials and services","Strategic Objectives (KSAs)","SO1 - 06 - Environmental Health Exp")</f>
        <v>22200</v>
      </c>
      <c r="J16" s="73"/>
      <c r="K16" s="73"/>
      <c r="L16" s="73"/>
      <c r="M16" s="73"/>
      <c r="N16" s="73"/>
      <c r="O16" s="73"/>
      <c r="P16" s="73"/>
      <c r="Q16" s="73"/>
      <c r="R16" s="425">
        <f t="shared" si="0"/>
        <v>89710.219507982998</v>
      </c>
      <c r="S16" s="31"/>
    </row>
    <row r="17" spans="3:19" ht="12" customHeight="1" x14ac:dyDescent="0.2">
      <c r="C17" s="13"/>
      <c r="D17" s="19">
        <f>'Revenue - WHC'!D18</f>
        <v>7</v>
      </c>
      <c r="E17" s="71" t="str">
        <f>IF(OR('Services - WHC'!E16="",'Services - WHC'!E16="[Enter service]"),"",'Services - WHC'!E16)</f>
        <v>Asset Management and Appearance of Public Places</v>
      </c>
      <c r="F17" s="72" t="str">
        <f>IF(OR('Services - WHC'!F16="",'Services - WHC'!F16="[Select]"),"",'Services - WHC'!F16)</f>
        <v>External</v>
      </c>
      <c r="G17" s="26"/>
      <c r="H17" s="73"/>
      <c r="I17" s="73">
        <f>GETPIVOTDATA("Sum of 2017/18",'[4]ESC Mat &amp; Serv'!$A$3,"Stat of Inc &amp; Exp (Available Cash)","Materials and services","Strategic Objectives (KSAs)","SO1 - 07 - Asset Management and Appearance of Public Places - Exp")</f>
        <v>1066787.79</v>
      </c>
      <c r="J17" s="73"/>
      <c r="K17" s="73"/>
      <c r="L17" s="73"/>
      <c r="M17" s="73"/>
      <c r="N17" s="73"/>
      <c r="O17" s="73"/>
      <c r="P17" s="73"/>
      <c r="Q17" s="73"/>
      <c r="R17" s="425">
        <f t="shared" si="0"/>
        <v>1066787.79</v>
      </c>
      <c r="S17" s="31"/>
    </row>
    <row r="18" spans="3:19" ht="12" customHeight="1" x14ac:dyDescent="0.2">
      <c r="C18" s="13"/>
      <c r="D18" s="19">
        <f>'Revenue - WHC'!D19</f>
        <v>8</v>
      </c>
      <c r="E18" s="71" t="str">
        <f>IF(OR('Services - WHC'!E17="",'Services - WHC'!E17="[Enter service]"),"",'Services - WHC'!E17)</f>
        <v>Local Laws, Safety and Amenity</v>
      </c>
      <c r="F18" s="72" t="str">
        <f>IF(OR('Services - WHC'!F17="",'Services - WHC'!F17="[Select]"),"",'Services - WHC'!F17)</f>
        <v>External</v>
      </c>
      <c r="G18" s="26"/>
      <c r="H18" s="73">
        <f>GETPIVOTDATA("Sum of 2017/18",'[4]ESC Employees'!$A$3,"Stat of Inc &amp; Exp (Available Cash)","Employee costs","Strategic Objectives (KSAs)","SO1 - 08 - Local Laws, Safety and Amenity - Exp")</f>
        <v>280500</v>
      </c>
      <c r="I18" s="73">
        <f>GETPIVOTDATA("Sum of 2017/18",'[4]ESC Mat &amp; Serv'!$A$3,"Stat of Inc &amp; Exp (Available Cash)","Materials and services","Strategic Objectives (KSAs)","SO1 - 08 - Local Laws, Safety and Amenity - Exp")</f>
        <v>23200</v>
      </c>
      <c r="J18" s="73"/>
      <c r="K18" s="73"/>
      <c r="L18" s="73"/>
      <c r="M18" s="73"/>
      <c r="N18" s="73">
        <f>GETPIVOTDATA("Sum of 2017/18",'[4]ESC Other Exp'!$A$3,"Stat of Inc &amp; Exp (Available Cash)","Other expenses","Strategic Objectives (KSAs)","SO1 - 08 - Local Laws, Safety and Amenity - Exp")</f>
        <v>700</v>
      </c>
      <c r="O18" s="73"/>
      <c r="P18" s="73"/>
      <c r="Q18" s="73"/>
      <c r="R18" s="425">
        <f t="shared" si="0"/>
        <v>304400</v>
      </c>
      <c r="S18" s="31"/>
    </row>
    <row r="19" spans="3:19" ht="12" customHeight="1" x14ac:dyDescent="0.2">
      <c r="C19" s="13"/>
      <c r="D19" s="19">
        <f>'Revenue - WHC'!D20</f>
        <v>9</v>
      </c>
      <c r="E19" s="71" t="str">
        <f>IF(OR('Services - WHC'!E18="",'Services - WHC'!E18="[Enter service]"),"",'Services - WHC'!E18)</f>
        <v>Street Lighting</v>
      </c>
      <c r="F19" s="72" t="str">
        <f>IF(OR('Services - WHC'!F18="",'Services - WHC'!F18="[Select]"),"",'Services - WHC'!F18)</f>
        <v>External</v>
      </c>
      <c r="G19" s="26"/>
      <c r="H19" s="73"/>
      <c r="I19" s="73">
        <f>GETPIVOTDATA("Sum of 2017/18",'[4]ESC Mat &amp; Serv'!$A$3,"Stat of Inc &amp; Exp (Available Cash)","Materials and services","Strategic Objectives (KSAs)","SO1 - 09 - Street Lighting Exp")</f>
        <v>44900</v>
      </c>
      <c r="J19" s="73"/>
      <c r="K19" s="73"/>
      <c r="L19" s="73"/>
      <c r="M19" s="73"/>
      <c r="N19" s="73"/>
      <c r="O19" s="73"/>
      <c r="P19" s="73"/>
      <c r="Q19" s="73"/>
      <c r="R19" s="425">
        <f t="shared" si="0"/>
        <v>44900</v>
      </c>
      <c r="S19" s="31"/>
    </row>
    <row r="20" spans="3:19" ht="12" customHeight="1" x14ac:dyDescent="0.2">
      <c r="C20" s="13"/>
      <c r="D20" s="19">
        <f>'Revenue - WHC'!D21</f>
        <v>10</v>
      </c>
      <c r="E20" s="71" t="str">
        <f>IF(OR('Services - WHC'!E19="",'Services - WHC'!E19="[Enter service]"),"",'Services - WHC'!E19)</f>
        <v>Powerline Safety</v>
      </c>
      <c r="F20" s="72" t="str">
        <f>IF(OR('Services - WHC'!F19="",'Services - WHC'!F19="[Select]"),"",'Services - WHC'!F19)</f>
        <v>External</v>
      </c>
      <c r="G20" s="26"/>
      <c r="H20" s="73"/>
      <c r="I20" s="73">
        <f>GETPIVOTDATA("Sum of 2017/18",'[4]ESC Mat &amp; Serv'!$A$3,"Stat of Inc &amp; Exp (Available Cash)","Materials and services","Strategic Objectives (KSAs)","SO1 - 10 - Powerline Clearance")</f>
        <v>60000</v>
      </c>
      <c r="J20" s="73"/>
      <c r="K20" s="73"/>
      <c r="L20" s="73"/>
      <c r="M20" s="73"/>
      <c r="N20" s="73"/>
      <c r="O20" s="73"/>
      <c r="P20" s="73"/>
      <c r="Q20" s="73"/>
      <c r="R20" s="425">
        <f t="shared" si="0"/>
        <v>60000</v>
      </c>
      <c r="S20" s="31"/>
    </row>
    <row r="21" spans="3:19" ht="12" customHeight="1" x14ac:dyDescent="0.2">
      <c r="C21" s="13"/>
      <c r="D21" s="19">
        <f>'Revenue - WHC'!D22</f>
        <v>11</v>
      </c>
      <c r="E21" s="71" t="str">
        <f>IF(OR('Services - WHC'!E20="",'Services - WHC'!E20="[Enter service]"),"",'Services - WHC'!E20)</f>
        <v>Library</v>
      </c>
      <c r="F21" s="72" t="str">
        <f>IF(OR('Services - WHC'!F20="",'Services - WHC'!F20="[Select]"),"",'Services - WHC'!F20)</f>
        <v>External</v>
      </c>
      <c r="G21" s="26"/>
      <c r="H21" s="73"/>
      <c r="I21" s="73">
        <f>GETPIVOTDATA("Sum of 2017/18",'[4]ESC Mat &amp; Serv'!$A$3,"Stat of Inc &amp; Exp (Available Cash)","Materials and services","Strategic Objectives (KSAs)","SO1 - 11 - Library Exp")</f>
        <v>211500</v>
      </c>
      <c r="J21" s="73"/>
      <c r="K21" s="73"/>
      <c r="L21" s="73"/>
      <c r="M21" s="73"/>
      <c r="N21" s="73"/>
      <c r="O21" s="73"/>
      <c r="P21" s="73"/>
      <c r="Q21" s="73"/>
      <c r="R21" s="425">
        <f t="shared" si="0"/>
        <v>211500</v>
      </c>
      <c r="S21" s="31"/>
    </row>
    <row r="22" spans="3:19" ht="12" customHeight="1" x14ac:dyDescent="0.2">
      <c r="C22" s="13"/>
      <c r="D22" s="19">
        <f>'Revenue - WHC'!D23</f>
        <v>12</v>
      </c>
      <c r="E22" s="71" t="str">
        <f>IF(OR('Services - WHC'!E21="",'Services - WHC'!E21="[Enter service]"),"",'Services - WHC'!E21)</f>
        <v>Recreation, Arts and Culture</v>
      </c>
      <c r="F22" s="72" t="str">
        <f>IF(OR('Services - WHC'!F21="",'Services - WHC'!F21="[Select]"),"",'Services - WHC'!F21)</f>
        <v>External</v>
      </c>
      <c r="G22" s="26"/>
      <c r="H22" s="73"/>
      <c r="I22" s="73">
        <f>GETPIVOTDATA("Sum of 2017/18",'[4]ESC Mat &amp; Serv'!$A$3,"Stat of Inc &amp; Exp (Available Cash)","Materials and services","Strategic Objectives (KSAs)","SO1 - 12 - Recreation, Arts and Culture - Exp")</f>
        <v>28500</v>
      </c>
      <c r="J22" s="73"/>
      <c r="K22" s="73"/>
      <c r="L22" s="73"/>
      <c r="M22" s="73"/>
      <c r="N22" s="73"/>
      <c r="O22" s="73"/>
      <c r="P22" s="73"/>
      <c r="Q22" s="73"/>
      <c r="R22" s="425">
        <f t="shared" si="0"/>
        <v>28500</v>
      </c>
      <c r="S22" s="31"/>
    </row>
    <row r="23" spans="3:19" ht="12" customHeight="1" x14ac:dyDescent="0.2">
      <c r="C23" s="13"/>
      <c r="D23" s="19">
        <f>'Revenue - WHC'!D24</f>
        <v>13</v>
      </c>
      <c r="E23" s="71" t="str">
        <f>IF(OR('Services - WHC'!E22="",'Services - WHC'!E22="[Enter service]"),"",'Services - WHC'!E22)</f>
        <v>Environmental Sustainability</v>
      </c>
      <c r="F23" s="72" t="str">
        <f>IF(OR('Services - WHC'!F22="",'Services - WHC'!F22="[Select]"),"",'Services - WHC'!F22)</f>
        <v>Mixed</v>
      </c>
      <c r="G23" s="26"/>
      <c r="H23" s="73">
        <f>'[3]2017-18 BUDGET'!$AA$55</f>
        <v>72489.780492017002</v>
      </c>
      <c r="I23" s="73">
        <f>GETPIVOTDATA("Sum of 2017/18",'[4]ESC Mat &amp; Serv'!$A$3,"Stat of Inc &amp; Exp (Available Cash)","Materials and services","Strategic Objectives (KSAs)","SO2 - 01 - Environmental Sustainability - Exp")</f>
        <v>130583.42</v>
      </c>
      <c r="J23" s="73"/>
      <c r="K23" s="73"/>
      <c r="L23" s="73"/>
      <c r="M23" s="73"/>
      <c r="N23" s="73"/>
      <c r="O23" s="73"/>
      <c r="P23" s="73"/>
      <c r="Q23" s="73"/>
      <c r="R23" s="425">
        <f t="shared" si="0"/>
        <v>203073.200492017</v>
      </c>
      <c r="S23" s="31"/>
    </row>
    <row r="24" spans="3:19" ht="12" customHeight="1" x14ac:dyDescent="0.2">
      <c r="C24" s="13"/>
      <c r="D24" s="19">
        <f>'Revenue - WHC'!D25</f>
        <v>14</v>
      </c>
      <c r="E24" s="71" t="str">
        <f>IF(OR('Services - WHC'!E23="",'Services - WHC'!E23="[Enter service]"),"",'Services - WHC'!E23)</f>
        <v>Coastal Protection</v>
      </c>
      <c r="F24" s="72" t="str">
        <f>IF(OR('Services - WHC'!F23="",'Services - WHC'!F23="[Select]"),"",'Services - WHC'!F23)</f>
        <v>External</v>
      </c>
      <c r="G24" s="26"/>
      <c r="H24" s="73">
        <f>GETPIVOTDATA("Sum of 2017/18",'[4]ESC Employees'!$A$3,"Stat of Inc &amp; Exp (Available Cash)","Employee costs","Strategic Objectives (KSAs)","SO2 - 02 - Coastal Protection - Exp")</f>
        <v>122700</v>
      </c>
      <c r="I24" s="73">
        <f>GETPIVOTDATA("Sum of 2017/18",'[4]ESC Mat &amp; Serv'!$A$3,"Stat of Inc &amp; Exp (Available Cash)","Materials and services","Strategic Objectives (KSAs)","SO2 - 02 - Coastal Protection - Exp")</f>
        <v>595211.76</v>
      </c>
      <c r="J24" s="73"/>
      <c r="K24" s="73"/>
      <c r="L24" s="73"/>
      <c r="M24" s="73"/>
      <c r="N24" s="73">
        <f>GETPIVOTDATA("Sum of 2017/18",'[4]ESC Other Exp'!$A$3,"Stat of Inc &amp; Exp (Available Cash)","Other expenses","Strategic Objectives (KSAs)","SO2 - 02 - Coastal Protection - Exp")</f>
        <v>1000</v>
      </c>
      <c r="O24" s="73"/>
      <c r="P24" s="73"/>
      <c r="Q24" s="73"/>
      <c r="R24" s="425">
        <f t="shared" si="0"/>
        <v>718911.76</v>
      </c>
      <c r="S24" s="31"/>
    </row>
    <row r="25" spans="3:19" ht="12" customHeight="1" x14ac:dyDescent="0.2">
      <c r="C25" s="13"/>
      <c r="D25" s="19">
        <f>'Revenue - WHC'!D26</f>
        <v>15</v>
      </c>
      <c r="E25" s="71" t="str">
        <f>IF(OR('Services - WHC'!E24="",'Services - WHC'!E24="[Enter service]"),"",'Services - WHC'!E24)</f>
        <v>Waste Management and Recycling</v>
      </c>
      <c r="F25" s="72" t="str">
        <f>IF(OR('Services - WHC'!F24="",'Services - WHC'!F24="[Select]"),"",'Services - WHC'!F24)</f>
        <v>External</v>
      </c>
      <c r="G25" s="26"/>
      <c r="H25" s="73"/>
      <c r="I25" s="73">
        <f>GETPIVOTDATA("Sum of 2017/18",'[4]ESC Mat &amp; Serv'!$A$3,"Stat of Inc &amp; Exp (Available Cash)","Materials and services","Strategic Objectives (KSAs)","SO2 - 03 - Waste Management and Recycling - Exp")</f>
        <v>894200</v>
      </c>
      <c r="J25" s="73"/>
      <c r="K25" s="73"/>
      <c r="L25" s="73"/>
      <c r="M25" s="73"/>
      <c r="N25" s="73"/>
      <c r="O25" s="73"/>
      <c r="P25" s="73"/>
      <c r="Q25" s="73"/>
      <c r="R25" s="425">
        <f t="shared" si="0"/>
        <v>894200</v>
      </c>
      <c r="S25" s="31"/>
    </row>
    <row r="26" spans="3:19" ht="12" customHeight="1" x14ac:dyDescent="0.2">
      <c r="C26" s="13"/>
      <c r="D26" s="19">
        <f>'Revenue - WHC'!D27</f>
        <v>16</v>
      </c>
      <c r="E26" s="71" t="str">
        <f>IF(OR('Services - WHC'!E25="",'Services - WHC'!E25="[Enter service]"),"",'Services - WHC'!E25)</f>
        <v>Tourist Parks and Boat Ramp Services</v>
      </c>
      <c r="F26" s="72" t="str">
        <f>IF(OR('Services - WHC'!F25="",'Services - WHC'!F25="[Select]"),"",'Services - WHC'!F25)</f>
        <v>External</v>
      </c>
      <c r="G26" s="26"/>
      <c r="H26" s="73">
        <f>GETPIVOTDATA("Sum of 2017/18",'[4]ESC Employees'!$A$3,"Stat of Inc &amp; Exp (Available Cash)","Employee costs","Strategic Objectives (KSAs)","SO3 - 01 - Tourist Parks and Boat Ramp Services - Exp")</f>
        <v>502100</v>
      </c>
      <c r="I26" s="73">
        <f>GETPIVOTDATA("Sum of 2017/18",'[4]ESC Mat &amp; Serv'!$A$3,"Stat of Inc &amp; Exp (Available Cash)","Materials and services","Strategic Objectives (KSAs)","SO3 - 01 - Tourist Parks and Boat Ramp Services - Exp")</f>
        <v>542480.44999999995</v>
      </c>
      <c r="J26" s="73"/>
      <c r="K26" s="73"/>
      <c r="L26" s="73"/>
      <c r="M26" s="73"/>
      <c r="N26" s="73"/>
      <c r="O26" s="73"/>
      <c r="P26" s="73"/>
      <c r="Q26" s="73"/>
      <c r="R26" s="425">
        <f t="shared" si="0"/>
        <v>1044580.45</v>
      </c>
      <c r="S26" s="31"/>
    </row>
    <row r="27" spans="3:19" ht="12" customHeight="1" x14ac:dyDescent="0.2">
      <c r="C27" s="13"/>
      <c r="D27" s="19">
        <f>'Revenue - WHC'!D28</f>
        <v>17</v>
      </c>
      <c r="E27" s="71" t="str">
        <f>IF(OR('Services - WHC'!E26="",'Services - WHC'!E26="[Enter service]"),"",'Services - WHC'!E26)</f>
        <v>Visitor Information Centre (VIC)</v>
      </c>
      <c r="F27" s="72" t="str">
        <f>IF(OR('Services - WHC'!F26="",'Services - WHC'!F26="[Select]"),"",'Services - WHC'!F26)</f>
        <v>External</v>
      </c>
      <c r="G27" s="26"/>
      <c r="H27" s="73">
        <f>GETPIVOTDATA("Sum of 2017/18",'[4]ESC Employees'!$A$3,"Stat of Inc &amp; Exp (Available Cash)","Employee costs","Strategic Objectives (KSAs)","SO3 - 02 - Visitor Information Centre (VIC) - Exp")</f>
        <v>169000</v>
      </c>
      <c r="I27" s="73">
        <f>GETPIVOTDATA("Sum of 2017/18",'[4]ESC Mat &amp; Serv'!$A$3,"Stat of Inc &amp; Exp (Available Cash)","Materials and services","Strategic Objectives (KSAs)","SO3 - 02 - Visitor Information Centre (VIC) - Exp")</f>
        <v>38800</v>
      </c>
      <c r="J27" s="73"/>
      <c r="K27" s="73"/>
      <c r="L27" s="73"/>
      <c r="M27" s="73"/>
      <c r="N27" s="73"/>
      <c r="O27" s="73"/>
      <c r="P27" s="73"/>
      <c r="Q27" s="73"/>
      <c r="R27" s="425">
        <f t="shared" si="0"/>
        <v>207800</v>
      </c>
      <c r="S27" s="31"/>
    </row>
    <row r="28" spans="3:19" ht="12" customHeight="1" x14ac:dyDescent="0.2">
      <c r="C28" s="13"/>
      <c r="D28" s="19">
        <f>'Revenue - WHC'!D29</f>
        <v>18</v>
      </c>
      <c r="E28" s="71" t="str">
        <f>IF(OR('Services - WHC'!E27="",'Services - WHC'!E27="[Enter service]"),"",'Services - WHC'!E27)</f>
        <v>Tourism and Economic Development</v>
      </c>
      <c r="F28" s="72" t="str">
        <f>IF(OR('Services - WHC'!F27="",'Services - WHC'!F27="[Select]"),"",'Services - WHC'!F27)</f>
        <v>Mixed</v>
      </c>
      <c r="G28" s="26"/>
      <c r="H28" s="73">
        <f>GETPIVOTDATA("Sum of 2017/18",'[4]ESC Employees'!$A$3,"Stat of Inc &amp; Exp (Available Cash)","Employee costs","Strategic Objectives (KSAs)","SO3 - 03 - Tourism and Economic Development - Exp")</f>
        <v>81800</v>
      </c>
      <c r="I28" s="73">
        <f>GETPIVOTDATA("Sum of 2017/18",'[4]ESC Mat &amp; Serv'!$A$3,"Stat of Inc &amp; Exp (Available Cash)","Materials and services","Strategic Objectives (KSAs)","SO3 - 03 - Tourism and Economic Development - Exp")</f>
        <v>134400</v>
      </c>
      <c r="J28" s="73"/>
      <c r="K28" s="73"/>
      <c r="L28" s="73"/>
      <c r="M28" s="73"/>
      <c r="N28" s="73"/>
      <c r="O28" s="73"/>
      <c r="P28" s="73"/>
      <c r="Q28" s="73"/>
      <c r="R28" s="425">
        <f t="shared" si="0"/>
        <v>216200</v>
      </c>
      <c r="S28" s="31"/>
    </row>
    <row r="29" spans="3:19" ht="12" customHeight="1" x14ac:dyDescent="0.2">
      <c r="C29" s="13"/>
      <c r="D29" s="19">
        <f>'Revenue - WHC'!D30</f>
        <v>19</v>
      </c>
      <c r="E29" s="71" t="str">
        <f>IF(OR('Services - WHC'!E28="",'Services - WHC'!E28="[Enter service]"),"",'Services - WHC'!E28)</f>
        <v>Design and Project Management</v>
      </c>
      <c r="F29" s="72" t="str">
        <f>IF(OR('Services - WHC'!F28="",'Services - WHC'!F28="[Select]"),"",'Services - WHC'!F28)</f>
        <v>Mixed</v>
      </c>
      <c r="G29" s="26"/>
      <c r="H29" s="73">
        <f>GETPIVOTDATA("Sum of 2017/18",'[4]ESC Employees'!$A$3,"Stat of Inc &amp; Exp (Available Cash)","Employee costs","Strategic Objectives (KSAs)","SO4 - 01 - Design and Project Management - Exp")</f>
        <v>159700</v>
      </c>
      <c r="I29" s="73">
        <f>GETPIVOTDATA("Sum of 2017/18",'[4]ESC Mat &amp; Serv'!$A$3,"Stat of Inc &amp; Exp (Available Cash)","Materials and services","Strategic Objectives (KSAs)","SO4 - 01 - Design and Project Management - Exp")</f>
        <v>19100</v>
      </c>
      <c r="J29" s="73"/>
      <c r="K29" s="73"/>
      <c r="L29" s="73"/>
      <c r="M29" s="73"/>
      <c r="N29" s="73"/>
      <c r="O29" s="73"/>
      <c r="P29" s="73"/>
      <c r="Q29" s="73"/>
      <c r="R29" s="425">
        <f t="shared" si="0"/>
        <v>178800</v>
      </c>
      <c r="S29" s="31"/>
    </row>
    <row r="30" spans="3:19" ht="12" customHeight="1" x14ac:dyDescent="0.2">
      <c r="C30" s="13"/>
      <c r="D30" s="19">
        <f>'Revenue - WHC'!D31</f>
        <v>20</v>
      </c>
      <c r="E30" s="71" t="str">
        <f>IF(OR('Services - WHC'!E29="",'Services - WHC'!E29="[Enter service]"),"",'Services - WHC'!E29)</f>
        <v>Land Use Planning</v>
      </c>
      <c r="F30" s="72" t="str">
        <f>IF(OR('Services - WHC'!F29="",'Services - WHC'!F29="[Select]"),"",'Services - WHC'!F29)</f>
        <v>External</v>
      </c>
      <c r="G30" s="26"/>
      <c r="H30" s="73">
        <f>GETPIVOTDATA("Sum of 2017/18",'[4]ESC Employees'!$A$3,"Stat of Inc &amp; Exp (Available Cash)","Employee costs","Strategic Objectives (KSAs)","SO4 - 02 - Land Use Planning - Exp")</f>
        <v>217000</v>
      </c>
      <c r="I30" s="73">
        <f>GETPIVOTDATA("Sum of 2017/18",'[4]ESC Mat &amp; Serv'!$A$3,"Stat of Inc &amp; Exp (Available Cash)","Materials and services","Strategic Objectives (KSAs)","SO4 - 02 - Land Use Planning - Exp")</f>
        <v>128956.92</v>
      </c>
      <c r="J30" s="73"/>
      <c r="K30" s="73"/>
      <c r="L30" s="73"/>
      <c r="M30" s="73"/>
      <c r="N30" s="73">
        <f>GETPIVOTDATA("Sum of 2017/18",'[4]ESC Other Exp'!$A$3,"Stat of Inc &amp; Exp (Available Cash)","Other expenses","Strategic Objectives (KSAs)","SO4 - 02 - Land Use Planning - Exp")</f>
        <v>500</v>
      </c>
      <c r="O30" s="73"/>
      <c r="P30" s="73"/>
      <c r="Q30" s="73"/>
      <c r="R30" s="425">
        <f t="shared" si="0"/>
        <v>346456.92</v>
      </c>
      <c r="S30" s="31"/>
    </row>
    <row r="31" spans="3:19" ht="12" customHeight="1" x14ac:dyDescent="0.2">
      <c r="C31" s="13"/>
      <c r="D31" s="19">
        <f>'Revenue - WHC'!D32</f>
        <v>21</v>
      </c>
      <c r="E31" s="71" t="str">
        <f>IF(OR('Services - WHC'!E30="",'Services - WHC'!E30="[Enter service]"),"",'Services - WHC'!E30)</f>
        <v>Heritage Conservation Advice</v>
      </c>
      <c r="F31" s="72" t="str">
        <f>IF(OR('Services - WHC'!F30="",'Services - WHC'!F30="[Select]"),"",'Services - WHC'!F30)</f>
        <v>External</v>
      </c>
      <c r="G31" s="26"/>
      <c r="H31" s="73"/>
      <c r="I31" s="73">
        <f>GETPIVOTDATA("Sum of 2017/18",'[4]ESC Mat &amp; Serv'!$A$3,"Stat of Inc &amp; Exp (Available Cash)","Materials and services","Strategic Objectives (KSAs)","SO4 - 03 - Heritage Conservation Advice - Exp")</f>
        <v>75000</v>
      </c>
      <c r="J31" s="73"/>
      <c r="K31" s="73"/>
      <c r="L31" s="73"/>
      <c r="M31" s="73"/>
      <c r="N31" s="73"/>
      <c r="O31" s="73"/>
      <c r="P31" s="73"/>
      <c r="Q31" s="73"/>
      <c r="R31" s="425">
        <f t="shared" si="0"/>
        <v>75000</v>
      </c>
      <c r="S31" s="31"/>
    </row>
    <row r="32" spans="3:19" ht="12" customHeight="1" x14ac:dyDescent="0.2">
      <c r="C32" s="13"/>
      <c r="D32" s="19">
        <f>'Revenue - WHC'!D33</f>
        <v>22</v>
      </c>
      <c r="E32" s="71" t="str">
        <f>IF(OR('Services - WHC'!E31="",'Services - WHC'!E31="[Enter service]"),"",'Services - WHC'!E31)</f>
        <v>Building Control</v>
      </c>
      <c r="F32" s="72" t="str">
        <f>IF(OR('Services - WHC'!F31="",'Services - WHC'!F31="[Select]"),"",'Services - WHC'!F31)</f>
        <v>External</v>
      </c>
      <c r="G32" s="26"/>
      <c r="H32" s="73"/>
      <c r="I32" s="73">
        <f>GETPIVOTDATA("Sum of 2017/18",'[4]ESC Mat &amp; Serv'!$A$3,"Stat of Inc &amp; Exp (Available Cash)","Materials and services","Strategic Objectives (KSAs)","SO4 - 04 - Building Control - Exp")</f>
        <v>58600</v>
      </c>
      <c r="J32" s="73"/>
      <c r="K32" s="73"/>
      <c r="L32" s="73"/>
      <c r="M32" s="73"/>
      <c r="N32" s="73"/>
      <c r="O32" s="73"/>
      <c r="P32" s="73"/>
      <c r="Q32" s="73"/>
      <c r="R32" s="425">
        <f t="shared" si="0"/>
        <v>58600</v>
      </c>
      <c r="S32" s="31"/>
    </row>
    <row r="33" spans="3:19" ht="12" customHeight="1" x14ac:dyDescent="0.2">
      <c r="C33" s="13"/>
      <c r="D33" s="19">
        <f>'Revenue - WHC'!D34</f>
        <v>23</v>
      </c>
      <c r="E33" s="71" t="str">
        <f>IF(OR('Services - WHC'!E32="",'Services - WHC'!E32="[Enter service]"),"",'Services - WHC'!E32)</f>
        <v>Council Governance</v>
      </c>
      <c r="F33" s="72" t="str">
        <f>IF(OR('Services - WHC'!F32="",'Services - WHC'!F32="[Select]"),"",'Services - WHC'!F32)</f>
        <v>Mixed</v>
      </c>
      <c r="G33" s="26"/>
      <c r="H33" s="73">
        <f>GETPIVOTDATA("Sum of 2017/18",'[4]ESC Employees'!$A$3,"Stat of Inc &amp; Exp (Available Cash)","Employee costs","Strategic Objectives (KSAs)","SO5 - 01 - Council Governance - Exp")</f>
        <v>2400</v>
      </c>
      <c r="I33" s="73">
        <f>GETPIVOTDATA("Sum of 2017/18",'[4]ESC Mat &amp; Serv'!$A$3,"Stat of Inc &amp; Exp (Available Cash)","Materials and services","Strategic Objectives (KSAs)","SO5 - 01 - Council Governance - Exp")</f>
        <v>105700</v>
      </c>
      <c r="J33" s="73"/>
      <c r="K33" s="73"/>
      <c r="L33" s="73"/>
      <c r="M33" s="73"/>
      <c r="N33" s="73">
        <f>GETPIVOTDATA("Sum of 2017/18",'[4]ESC Other Exp'!$A$3,"Stat of Inc &amp; Exp (Available Cash)","Other expenses","Strategic Objectives (KSAs)","SO5 - 01 - Council Governance - Exp")</f>
        <v>140800</v>
      </c>
      <c r="O33" s="73"/>
      <c r="P33" s="73"/>
      <c r="Q33" s="73"/>
      <c r="R33" s="425">
        <f t="shared" si="0"/>
        <v>248900</v>
      </c>
      <c r="S33" s="31"/>
    </row>
    <row r="34" spans="3:19" ht="12" customHeight="1" x14ac:dyDescent="0.2">
      <c r="C34" s="13"/>
      <c r="D34" s="19">
        <f>'Revenue - WHC'!D35</f>
        <v>24</v>
      </c>
      <c r="E34" s="71" t="str">
        <f>IF(OR('Services - WHC'!E33="",'Services - WHC'!E33="[Enter service]"),"",'Services - WHC'!E33)</f>
        <v>Organisation Performance and Compliance</v>
      </c>
      <c r="F34" s="72" t="str">
        <f>IF(OR('Services - WHC'!F33="",'Services - WHC'!F33="[Select]"),"",'Services - WHC'!F33)</f>
        <v>Internal</v>
      </c>
      <c r="G34" s="26"/>
      <c r="H34" s="73">
        <f>GETPIVOTDATA("Sum of 2017/18",'[4]ESC Employees'!$A$3,"Stat of Inc &amp; Exp (Available Cash)","Employee costs","Strategic Objectives (KSAs)","SO5 - 02 - Organisational Performance and Compliance - Exp")</f>
        <v>884900</v>
      </c>
      <c r="I34" s="73">
        <f>GETPIVOTDATA("Sum of 2017/18",'[4]ESC Mat &amp; Serv'!$A$3,"Stat of Inc &amp; Exp (Available Cash)","Materials and services","Strategic Objectives (KSAs)","SO5 - 02 - Organisational Performance and Compliance - Exp")</f>
        <v>329900</v>
      </c>
      <c r="J34" s="73"/>
      <c r="K34" s="73"/>
      <c r="L34" s="73"/>
      <c r="M34" s="73"/>
      <c r="N34" s="73">
        <f>GETPIVOTDATA("Sum of 2017/18",'[4]ESC Other Exp'!$A$3,"Stat of Inc &amp; Exp (Available Cash)","Other expenses","Strategic Objectives (KSAs)","SO5 - 02 - Organisational Performance and Compliance - Exp")</f>
        <v>25123</v>
      </c>
      <c r="O34" s="73"/>
      <c r="P34" s="73"/>
      <c r="Q34" s="73"/>
      <c r="R34" s="425">
        <f t="shared" si="0"/>
        <v>1239923</v>
      </c>
      <c r="S34" s="31"/>
    </row>
    <row r="35" spans="3:19" ht="12" customHeight="1" x14ac:dyDescent="0.2">
      <c r="C35" s="13"/>
      <c r="D35" s="19">
        <f>'Revenue - WHC'!D36</f>
        <v>25</v>
      </c>
      <c r="E35" s="71" t="str">
        <f>IF(OR('Services - WHC'!E34="",'Services - WHC'!E34="[Enter service]"),"",'Services - WHC'!E34)</f>
        <v>Community Engagement and Customer Service</v>
      </c>
      <c r="F35" s="72" t="str">
        <f>IF(OR('Services - WHC'!F34="",'Services - WHC'!F34="[Select]"),"",'Services - WHC'!F34)</f>
        <v>Mixed</v>
      </c>
      <c r="G35" s="26"/>
      <c r="H35" s="73">
        <f>GETPIVOTDATA("Sum of 2017/18",'[4]ESC Employees'!$A$3,"Stat of Inc &amp; Exp (Available Cash)","Employee costs","Strategic Objectives (KSAs)","SO5 - 03 - Community Engagement and Customer Service - Exp")</f>
        <v>442300</v>
      </c>
      <c r="I35" s="73">
        <f>GETPIVOTDATA("Sum of 2017/18",'[4]ESC Mat &amp; Serv'!$A$3,"Stat of Inc &amp; Exp (Available Cash)","Materials and services","Strategic Objectives (KSAs)","SO5 - 03 - Community Engagement and Customer Service - Exp")</f>
        <v>39000</v>
      </c>
      <c r="J35" s="73"/>
      <c r="K35" s="73"/>
      <c r="L35" s="73"/>
      <c r="M35" s="73"/>
      <c r="N35" s="73"/>
      <c r="O35" s="73"/>
      <c r="P35" s="73"/>
      <c r="Q35" s="73"/>
      <c r="R35" s="425">
        <f t="shared" si="0"/>
        <v>481300</v>
      </c>
      <c r="S35" s="31"/>
    </row>
    <row r="36" spans="3:19" ht="12" customHeight="1" x14ac:dyDescent="0.2">
      <c r="C36" s="13"/>
      <c r="D36" s="19">
        <f>'Revenue - WHC'!D37</f>
        <v>26</v>
      </c>
      <c r="E36" s="71" t="str">
        <f>IF(OR('Services - WHC'!E35="",'Services - WHC'!E35="[Enter service]"),"",'Services - WHC'!E35)</f>
        <v>Financial and Risk Management</v>
      </c>
      <c r="F36" s="72" t="str">
        <f>IF(OR('Services - WHC'!F35="",'Services - WHC'!F35="[Select]"),"",'Services - WHC'!F35)</f>
        <v>Internal</v>
      </c>
      <c r="G36" s="26"/>
      <c r="H36" s="73">
        <f>GETPIVOTDATA("Sum of 2017/18",'[4]ESC Employees'!$A$3,"Stat of Inc &amp; Exp (Available Cash)","Employee costs","Strategic Objectives (KSAs)","SO5 - 04 - Financial and Risk Management - Exp")</f>
        <v>410300</v>
      </c>
      <c r="I36" s="73">
        <f>GETPIVOTDATA("Sum of 2017/18",'[4]ESC Mat &amp; Serv'!$A$3,"Stat of Inc &amp; Exp (Available Cash)","Materials and services","Strategic Objectives (KSAs)","SO5 - 04 - Financial and Risk Management - Exp")</f>
        <v>511400.00274999999</v>
      </c>
      <c r="J36" s="73">
        <f>GETPIVOTDATA("Sum of 2017/18",'[4]ESC B&amp;DD'!$A$3,"Stat of Inc &amp; Exp (Available Cash)","Bad and doubtful debts","Strategic Objectives (KSAs)","SO5 - 04 - Financial and Risk Management - Exp")</f>
        <v>3000</v>
      </c>
      <c r="K36" s="73">
        <f>GETPIVOTDATA("Sum of 2017/18",'[4]ESC Depn'!$A$3,"Comprehensive Income Statement","Depreciation","Strategic Objectives (KSAs)","SO5 - 04 - Financial and Risk Management - Exp")</f>
        <v>1196599.2408</v>
      </c>
      <c r="L36" s="73"/>
      <c r="M36" s="73">
        <f>GETPIVOTDATA("Sum of 2017/18",'[4]ESC Int Exp'!$A$3,"Stat of Inc &amp; Exp (Available Cash)","Borrowing costs","Strategic Objectives (KSAs)","SO5 - 04 - Financial and Risk Management - Exp")</f>
        <v>11300</v>
      </c>
      <c r="N36" s="73">
        <f>GETPIVOTDATA("Sum of 2017/18",'[4]ESC Other Exp'!$A$3,"Stat of Inc &amp; Exp (Available Cash)","Other expenses","Strategic Objectives (KSAs)","SO5 - 04 - Financial and Risk Management - Exp")</f>
        <v>65000</v>
      </c>
      <c r="O36" s="73"/>
      <c r="P36" s="73"/>
      <c r="Q36" s="73"/>
      <c r="R36" s="425">
        <f t="shared" si="0"/>
        <v>2197599.2435499998</v>
      </c>
      <c r="S36" s="31"/>
    </row>
    <row r="37" spans="3:19" ht="12" customHeight="1" x14ac:dyDescent="0.2">
      <c r="C37" s="13"/>
      <c r="D37" s="19">
        <f>'Revenue - WHC'!D38</f>
        <v>27</v>
      </c>
      <c r="E37" s="71" t="str">
        <f>IF(OR('Services - WHC'!E36="",'Services - WHC'!E36="[Enter service]"),"",'Services - WHC'!E36)</f>
        <v/>
      </c>
      <c r="F37" s="72" t="str">
        <f>IF(OR('Services - WHC'!F36="",'Services - WHC'!F36="[Select]"),"",'Services - WHC'!F36)</f>
        <v/>
      </c>
      <c r="G37" s="26"/>
      <c r="H37" s="73"/>
      <c r="I37" s="73"/>
      <c r="J37" s="73"/>
      <c r="K37" s="73"/>
      <c r="L37" s="73"/>
      <c r="M37" s="73"/>
      <c r="N37" s="73"/>
      <c r="O37" s="73"/>
      <c r="P37" s="73"/>
      <c r="Q37" s="73"/>
      <c r="R37" s="425">
        <f t="shared" si="0"/>
        <v>0</v>
      </c>
      <c r="S37" s="31"/>
    </row>
    <row r="38" spans="3:19" ht="12" customHeight="1" x14ac:dyDescent="0.2">
      <c r="C38" s="13"/>
      <c r="D38" s="19">
        <f>'Revenue - WHC'!D39</f>
        <v>28</v>
      </c>
      <c r="E38" s="71" t="str">
        <f>IF(OR('Services - WHC'!E37="",'Services - WHC'!E37="[Enter service]"),"",'Services - WHC'!E37)</f>
        <v>Capital Works Program</v>
      </c>
      <c r="F38" s="72" t="str">
        <f>IF(OR('Services - WHC'!F37="",'Services - WHC'!F37="[Select]"),"",'Services - WHC'!F37)</f>
        <v>External</v>
      </c>
      <c r="G38" s="26"/>
      <c r="H38" s="73"/>
      <c r="I38" s="73"/>
      <c r="J38" s="73"/>
      <c r="K38" s="73"/>
      <c r="L38" s="73"/>
      <c r="M38" s="73"/>
      <c r="N38" s="73"/>
      <c r="O38" s="73"/>
      <c r="P38" s="73"/>
      <c r="Q38" s="73"/>
      <c r="R38" s="425">
        <f t="shared" si="0"/>
        <v>0</v>
      </c>
      <c r="S38" s="31"/>
    </row>
    <row r="39" spans="3:19" ht="12" customHeight="1" x14ac:dyDescent="0.2">
      <c r="C39" s="13"/>
      <c r="D39" s="19">
        <f>'Revenue - WHC'!D40</f>
        <v>29</v>
      </c>
      <c r="E39" s="71" t="str">
        <f>IF(OR('Services - WHC'!E38="",'Services - WHC'!E38="[Enter service]"),"",'Services - WHC'!E38)</f>
        <v/>
      </c>
      <c r="F39" s="72" t="str">
        <f>IF(OR('Services - WHC'!F38="",'Services - WHC'!F38="[Select]"),"",'Services - WHC'!F38)</f>
        <v/>
      </c>
      <c r="G39" s="26"/>
      <c r="H39" s="73"/>
      <c r="I39" s="73"/>
      <c r="J39" s="73"/>
      <c r="K39" s="73"/>
      <c r="L39" s="73"/>
      <c r="M39" s="73"/>
      <c r="N39" s="73"/>
      <c r="O39" s="73"/>
      <c r="P39" s="73"/>
      <c r="Q39" s="73"/>
      <c r="R39" s="425">
        <f t="shared" si="0"/>
        <v>0</v>
      </c>
      <c r="S39" s="31"/>
    </row>
    <row r="40" spans="3:19" ht="12" customHeight="1" x14ac:dyDescent="0.2">
      <c r="C40" s="13"/>
      <c r="D40" s="19">
        <f>'Revenue - WHC'!D41</f>
        <v>30</v>
      </c>
      <c r="E40" s="71" t="str">
        <f>IF(OR('Services - WHC'!E39="",'Services - WHC'!E39="[Enter service]"),"",'Services - WHC'!E39)</f>
        <v/>
      </c>
      <c r="F40" s="72" t="str">
        <f>IF(OR('Services - WHC'!F39="",'Services - WHC'!F39="[Select]"),"",'Services - WHC'!F39)</f>
        <v/>
      </c>
      <c r="G40" s="26"/>
      <c r="H40" s="73"/>
      <c r="I40" s="73"/>
      <c r="J40" s="73"/>
      <c r="K40" s="73"/>
      <c r="L40" s="73"/>
      <c r="M40" s="73"/>
      <c r="N40" s="73"/>
      <c r="O40" s="73"/>
      <c r="P40" s="73"/>
      <c r="Q40" s="73"/>
      <c r="R40" s="425">
        <f t="shared" si="0"/>
        <v>0</v>
      </c>
      <c r="S40" s="31"/>
    </row>
    <row r="41" spans="3:19" ht="12" customHeight="1" x14ac:dyDescent="0.2">
      <c r="C41" s="13"/>
      <c r="D41" s="19">
        <f>'Revenue - WHC'!D42</f>
        <v>31</v>
      </c>
      <c r="E41" s="71" t="str">
        <f>IF(OR('Services - WHC'!E40="",'Services - WHC'!E40="[Enter service]"),"",'Services - WHC'!E40)</f>
        <v/>
      </c>
      <c r="F41" s="72" t="str">
        <f>IF(OR('Services - WHC'!F40="",'Services - WHC'!F40="[Select]"),"",'Services - WHC'!F40)</f>
        <v/>
      </c>
      <c r="G41" s="26"/>
      <c r="H41" s="73"/>
      <c r="I41" s="73"/>
      <c r="J41" s="73"/>
      <c r="K41" s="73"/>
      <c r="L41" s="73"/>
      <c r="M41" s="73"/>
      <c r="N41" s="73"/>
      <c r="O41" s="73"/>
      <c r="P41" s="73"/>
      <c r="Q41" s="73"/>
      <c r="R41" s="425">
        <f t="shared" si="0"/>
        <v>0</v>
      </c>
      <c r="S41" s="31"/>
    </row>
    <row r="42" spans="3:19" ht="12" customHeight="1" x14ac:dyDescent="0.2">
      <c r="C42" s="13"/>
      <c r="D42" s="19">
        <f>'Revenue - WHC'!D43</f>
        <v>32</v>
      </c>
      <c r="E42" s="71" t="str">
        <f>IF(OR('Services - WHC'!E41="",'Services - WHC'!E41="[Enter service]"),"",'Services - WHC'!E41)</f>
        <v/>
      </c>
      <c r="F42" s="72" t="str">
        <f>IF(OR('Services - WHC'!F41="",'Services - WHC'!F41="[Select]"),"",'Services - WHC'!F41)</f>
        <v/>
      </c>
      <c r="G42" s="26"/>
      <c r="H42" s="73"/>
      <c r="I42" s="73"/>
      <c r="J42" s="73"/>
      <c r="K42" s="73"/>
      <c r="L42" s="73"/>
      <c r="M42" s="73"/>
      <c r="N42" s="73"/>
      <c r="O42" s="73"/>
      <c r="P42" s="73"/>
      <c r="Q42" s="73"/>
      <c r="R42" s="425">
        <f t="shared" si="0"/>
        <v>0</v>
      </c>
      <c r="S42" s="31"/>
    </row>
    <row r="43" spans="3:19" ht="12" customHeight="1" x14ac:dyDescent="0.2">
      <c r="C43" s="13"/>
      <c r="D43" s="19">
        <f>'Revenue - WHC'!D44</f>
        <v>33</v>
      </c>
      <c r="E43" s="71" t="str">
        <f>IF(OR('Services - WHC'!E42="",'Services - WHC'!E42="[Enter service]"),"",'Services - WHC'!E42)</f>
        <v/>
      </c>
      <c r="F43" s="72" t="str">
        <f>IF(OR('Services - WHC'!F42="",'Services - WHC'!F42="[Select]"),"",'Services - WHC'!F42)</f>
        <v/>
      </c>
      <c r="G43" s="26"/>
      <c r="H43" s="73"/>
      <c r="I43" s="73"/>
      <c r="J43" s="73"/>
      <c r="K43" s="73"/>
      <c r="L43" s="73"/>
      <c r="M43" s="73"/>
      <c r="N43" s="73"/>
      <c r="O43" s="73"/>
      <c r="P43" s="73"/>
      <c r="Q43" s="73"/>
      <c r="R43" s="425">
        <f t="shared" si="0"/>
        <v>0</v>
      </c>
      <c r="S43" s="31"/>
    </row>
    <row r="44" spans="3:19" ht="12" customHeight="1" x14ac:dyDescent="0.2">
      <c r="C44" s="13"/>
      <c r="D44" s="19">
        <f>'Revenue - WHC'!D45</f>
        <v>34</v>
      </c>
      <c r="E44" s="71" t="str">
        <f>IF(OR('Services - WHC'!E43="",'Services - WHC'!E43="[Enter service]"),"",'Services - WHC'!E43)</f>
        <v/>
      </c>
      <c r="F44" s="72" t="str">
        <f>IF(OR('Services - WHC'!F43="",'Services - WHC'!F43="[Select]"),"",'Services - WHC'!F43)</f>
        <v/>
      </c>
      <c r="G44" s="26"/>
      <c r="H44" s="73"/>
      <c r="I44" s="73"/>
      <c r="J44" s="73"/>
      <c r="K44" s="73"/>
      <c r="L44" s="73"/>
      <c r="M44" s="73"/>
      <c r="N44" s="73"/>
      <c r="O44" s="73"/>
      <c r="P44" s="73"/>
      <c r="Q44" s="73"/>
      <c r="R44" s="425">
        <f t="shared" si="0"/>
        <v>0</v>
      </c>
      <c r="S44" s="31"/>
    </row>
    <row r="45" spans="3:19" ht="12" customHeight="1" x14ac:dyDescent="0.2">
      <c r="C45" s="13"/>
      <c r="D45" s="19">
        <f>'Revenue - WHC'!D46</f>
        <v>35</v>
      </c>
      <c r="E45" s="71" t="str">
        <f>IF(OR('Services - WHC'!E44="",'Services - WHC'!E44="[Enter service]"),"",'Services - WHC'!E44)</f>
        <v/>
      </c>
      <c r="F45" s="72" t="str">
        <f>IF(OR('Services - WHC'!F44="",'Services - WHC'!F44="[Select]"),"",'Services - WHC'!F44)</f>
        <v/>
      </c>
      <c r="G45" s="26"/>
      <c r="H45" s="73"/>
      <c r="I45" s="73"/>
      <c r="J45" s="73"/>
      <c r="K45" s="73"/>
      <c r="L45" s="73"/>
      <c r="M45" s="73"/>
      <c r="N45" s="73"/>
      <c r="O45" s="73"/>
      <c r="P45" s="73"/>
      <c r="Q45" s="73"/>
      <c r="R45" s="425">
        <f t="shared" si="0"/>
        <v>0</v>
      </c>
      <c r="S45" s="31"/>
    </row>
    <row r="46" spans="3:19" ht="12" customHeight="1" x14ac:dyDescent="0.2">
      <c r="C46" s="13"/>
      <c r="D46" s="19">
        <f>'Revenue - WHC'!D47</f>
        <v>36</v>
      </c>
      <c r="E46" s="71" t="str">
        <f>IF(OR('Services - WHC'!E45="",'Services - WHC'!E45="[Enter service]"),"",'Services - WHC'!E45)</f>
        <v/>
      </c>
      <c r="F46" s="72" t="str">
        <f>IF(OR('Services - WHC'!F45="",'Services - WHC'!F45="[Select]"),"",'Services - WHC'!F45)</f>
        <v/>
      </c>
      <c r="G46" s="26"/>
      <c r="H46" s="73"/>
      <c r="I46" s="73"/>
      <c r="J46" s="73"/>
      <c r="K46" s="73"/>
      <c r="L46" s="73"/>
      <c r="M46" s="73"/>
      <c r="N46" s="73"/>
      <c r="O46" s="73"/>
      <c r="P46" s="73"/>
      <c r="Q46" s="73"/>
      <c r="R46" s="425">
        <f t="shared" si="0"/>
        <v>0</v>
      </c>
      <c r="S46" s="31"/>
    </row>
    <row r="47" spans="3:19" ht="12" customHeight="1" x14ac:dyDescent="0.2">
      <c r="C47" s="13"/>
      <c r="D47" s="19">
        <f>'Revenue - WHC'!D48</f>
        <v>37</v>
      </c>
      <c r="E47" s="71" t="str">
        <f>IF(OR('Services - WHC'!E46="",'Services - WHC'!E46="[Enter service]"),"",'Services - WHC'!E46)</f>
        <v/>
      </c>
      <c r="F47" s="72" t="str">
        <f>IF(OR('Services - WHC'!F46="",'Services - WHC'!F46="[Select]"),"",'Services - WHC'!F46)</f>
        <v/>
      </c>
      <c r="G47" s="26"/>
      <c r="H47" s="73"/>
      <c r="I47" s="73"/>
      <c r="J47" s="73"/>
      <c r="K47" s="73"/>
      <c r="L47" s="73"/>
      <c r="M47" s="73"/>
      <c r="N47" s="73"/>
      <c r="O47" s="73"/>
      <c r="P47" s="73"/>
      <c r="Q47" s="73"/>
      <c r="R47" s="425">
        <f t="shared" si="0"/>
        <v>0</v>
      </c>
      <c r="S47" s="31"/>
    </row>
    <row r="48" spans="3:19" ht="12" customHeight="1" x14ac:dyDescent="0.2">
      <c r="C48" s="13"/>
      <c r="D48" s="19">
        <f>'Revenue - WHC'!D49</f>
        <v>38</v>
      </c>
      <c r="E48" s="71" t="str">
        <f>IF(OR('Services - WHC'!E47="",'Services - WHC'!E47="[Enter service]"),"",'Services - WHC'!E47)</f>
        <v/>
      </c>
      <c r="F48" s="72" t="str">
        <f>IF(OR('Services - WHC'!F47="",'Services - WHC'!F47="[Select]"),"",'Services - WHC'!F47)</f>
        <v/>
      </c>
      <c r="G48" s="26"/>
      <c r="H48" s="73"/>
      <c r="I48" s="73"/>
      <c r="J48" s="73"/>
      <c r="K48" s="73"/>
      <c r="L48" s="73"/>
      <c r="M48" s="73"/>
      <c r="N48" s="73"/>
      <c r="O48" s="73"/>
      <c r="P48" s="73"/>
      <c r="Q48" s="73"/>
      <c r="R48" s="425">
        <f t="shared" si="0"/>
        <v>0</v>
      </c>
      <c r="S48" s="31"/>
    </row>
    <row r="49" spans="3:19" ht="12" customHeight="1" x14ac:dyDescent="0.2">
      <c r="C49" s="13"/>
      <c r="D49" s="19">
        <f>'Revenue - WHC'!D50</f>
        <v>39</v>
      </c>
      <c r="E49" s="71" t="str">
        <f>IF(OR('Services - WHC'!E48="",'Services - WHC'!E48="[Enter service]"),"",'Services - WHC'!E48)</f>
        <v/>
      </c>
      <c r="F49" s="72" t="str">
        <f>IF(OR('Services - WHC'!F48="",'Services - WHC'!F48="[Select]"),"",'Services - WHC'!F48)</f>
        <v/>
      </c>
      <c r="G49" s="26"/>
      <c r="H49" s="73"/>
      <c r="I49" s="73"/>
      <c r="J49" s="73"/>
      <c r="K49" s="73"/>
      <c r="L49" s="73"/>
      <c r="M49" s="73"/>
      <c r="N49" s="73"/>
      <c r="O49" s="73"/>
      <c r="P49" s="73"/>
      <c r="Q49" s="73"/>
      <c r="R49" s="425">
        <f t="shared" si="0"/>
        <v>0</v>
      </c>
      <c r="S49" s="31"/>
    </row>
    <row r="50" spans="3:19" ht="12" customHeight="1" x14ac:dyDescent="0.2">
      <c r="C50" s="13"/>
      <c r="D50" s="19">
        <f>'Revenue - WHC'!D51</f>
        <v>40</v>
      </c>
      <c r="E50" s="71" t="str">
        <f>IF(OR('Services - WHC'!E49="",'Services - WHC'!E49="[Enter service]"),"",'Services - WHC'!E49)</f>
        <v/>
      </c>
      <c r="F50" s="72" t="str">
        <f>IF(OR('Services - WHC'!F49="",'Services - WHC'!F49="[Select]"),"",'Services - WHC'!F49)</f>
        <v/>
      </c>
      <c r="G50" s="26"/>
      <c r="H50" s="73"/>
      <c r="I50" s="73"/>
      <c r="J50" s="73"/>
      <c r="K50" s="73"/>
      <c r="L50" s="73"/>
      <c r="M50" s="73"/>
      <c r="N50" s="73"/>
      <c r="O50" s="73"/>
      <c r="P50" s="73"/>
      <c r="Q50" s="73"/>
      <c r="R50" s="425">
        <f t="shared" si="0"/>
        <v>0</v>
      </c>
      <c r="S50" s="31"/>
    </row>
    <row r="51" spans="3:19" ht="12" customHeight="1" x14ac:dyDescent="0.2">
      <c r="C51" s="13"/>
      <c r="D51" s="19">
        <f>'Revenue - WHC'!D52</f>
        <v>41</v>
      </c>
      <c r="E51" s="71" t="str">
        <f>IF(OR('Services - WHC'!E50="",'Services - WHC'!E50="[Enter service]"),"",'Services - WHC'!E50)</f>
        <v/>
      </c>
      <c r="F51" s="72" t="str">
        <f>IF(OR('Services - WHC'!F50="",'Services - WHC'!F50="[Select]"),"",'Services - WHC'!F50)</f>
        <v/>
      </c>
      <c r="G51" s="26"/>
      <c r="H51" s="73"/>
      <c r="I51" s="73"/>
      <c r="J51" s="73"/>
      <c r="K51" s="73"/>
      <c r="L51" s="73"/>
      <c r="M51" s="73"/>
      <c r="N51" s="73"/>
      <c r="O51" s="73"/>
      <c r="P51" s="73"/>
      <c r="Q51" s="73"/>
      <c r="R51" s="425">
        <f t="shared" si="0"/>
        <v>0</v>
      </c>
      <c r="S51" s="31"/>
    </row>
    <row r="52" spans="3:19" ht="12" customHeight="1" x14ac:dyDescent="0.2">
      <c r="C52" s="13"/>
      <c r="D52" s="19">
        <f>'Revenue - WHC'!D53</f>
        <v>42</v>
      </c>
      <c r="E52" s="71" t="str">
        <f>IF(OR('Services - WHC'!E51="",'Services - WHC'!E51="[Enter service]"),"",'Services - WHC'!E51)</f>
        <v/>
      </c>
      <c r="F52" s="72" t="str">
        <f>IF(OR('Services - WHC'!F51="",'Services - WHC'!F51="[Select]"),"",'Services - WHC'!F51)</f>
        <v/>
      </c>
      <c r="G52" s="26"/>
      <c r="H52" s="73"/>
      <c r="I52" s="73"/>
      <c r="J52" s="73"/>
      <c r="K52" s="73"/>
      <c r="L52" s="73"/>
      <c r="M52" s="73"/>
      <c r="N52" s="73"/>
      <c r="O52" s="73"/>
      <c r="P52" s="73"/>
      <c r="Q52" s="73"/>
      <c r="R52" s="425">
        <f t="shared" si="0"/>
        <v>0</v>
      </c>
      <c r="S52" s="31"/>
    </row>
    <row r="53" spans="3:19" ht="12" customHeight="1" x14ac:dyDescent="0.2">
      <c r="C53" s="13"/>
      <c r="D53" s="19">
        <f>'Revenue - WHC'!D54</f>
        <v>43</v>
      </c>
      <c r="E53" s="71" t="str">
        <f>IF(OR('Services - WHC'!E52="",'Services - WHC'!E52="[Enter service]"),"",'Services - WHC'!E52)</f>
        <v/>
      </c>
      <c r="F53" s="72" t="str">
        <f>IF(OR('Services - WHC'!F52="",'Services - WHC'!F52="[Select]"),"",'Services - WHC'!F52)</f>
        <v/>
      </c>
      <c r="G53" s="26"/>
      <c r="H53" s="73"/>
      <c r="I53" s="73"/>
      <c r="J53" s="73"/>
      <c r="K53" s="73"/>
      <c r="L53" s="73"/>
      <c r="M53" s="73"/>
      <c r="N53" s="73"/>
      <c r="O53" s="73"/>
      <c r="P53" s="73"/>
      <c r="Q53" s="73"/>
      <c r="R53" s="425">
        <f t="shared" si="0"/>
        <v>0</v>
      </c>
      <c r="S53" s="31"/>
    </row>
    <row r="54" spans="3:19" ht="12" customHeight="1" x14ac:dyDescent="0.2">
      <c r="C54" s="13"/>
      <c r="D54" s="19">
        <f>'Revenue - WHC'!D55</f>
        <v>44</v>
      </c>
      <c r="E54" s="71" t="str">
        <f>IF(OR('Services - WHC'!E53="",'Services - WHC'!E53="[Enter service]"),"",'Services - WHC'!E53)</f>
        <v/>
      </c>
      <c r="F54" s="72" t="str">
        <f>IF(OR('Services - WHC'!F53="",'Services - WHC'!F53="[Select]"),"",'Services - WHC'!F53)</f>
        <v/>
      </c>
      <c r="G54" s="26"/>
      <c r="H54" s="73"/>
      <c r="I54" s="73"/>
      <c r="J54" s="73"/>
      <c r="K54" s="73"/>
      <c r="L54" s="73"/>
      <c r="M54" s="73"/>
      <c r="N54" s="73"/>
      <c r="O54" s="73"/>
      <c r="P54" s="73"/>
      <c r="Q54" s="73"/>
      <c r="R54" s="425">
        <f t="shared" si="0"/>
        <v>0</v>
      </c>
      <c r="S54" s="31"/>
    </row>
    <row r="55" spans="3:19" ht="12" customHeight="1" x14ac:dyDescent="0.2">
      <c r="C55" s="13"/>
      <c r="D55" s="19">
        <f>'Revenue - WHC'!D56</f>
        <v>45</v>
      </c>
      <c r="E55" s="71" t="str">
        <f>IF(OR('Services - WHC'!E54="",'Services - WHC'!E54="[Enter service]"),"",'Services - WHC'!E54)</f>
        <v/>
      </c>
      <c r="F55" s="72" t="str">
        <f>IF(OR('Services - WHC'!F54="",'Services - WHC'!F54="[Select]"),"",'Services - WHC'!F54)</f>
        <v/>
      </c>
      <c r="G55" s="26"/>
      <c r="H55" s="73"/>
      <c r="I55" s="73"/>
      <c r="J55" s="73"/>
      <c r="K55" s="73"/>
      <c r="L55" s="73"/>
      <c r="M55" s="73"/>
      <c r="N55" s="73"/>
      <c r="O55" s="73"/>
      <c r="P55" s="73"/>
      <c r="Q55" s="73"/>
      <c r="R55" s="425">
        <f t="shared" si="0"/>
        <v>0</v>
      </c>
      <c r="S55" s="31"/>
    </row>
    <row r="56" spans="3:19" ht="12" customHeight="1" x14ac:dyDescent="0.2">
      <c r="C56" s="13"/>
      <c r="D56" s="19">
        <f>'Revenue - WHC'!D57</f>
        <v>46</v>
      </c>
      <c r="E56" s="71" t="str">
        <f>IF(OR('Services - WHC'!E55="",'Services - WHC'!E55="[Enter service]"),"",'Services - WHC'!E55)</f>
        <v/>
      </c>
      <c r="F56" s="72" t="str">
        <f>IF(OR('Services - WHC'!F55="",'Services - WHC'!F55="[Select]"),"",'Services - WHC'!F55)</f>
        <v/>
      </c>
      <c r="G56" s="26"/>
      <c r="H56" s="73"/>
      <c r="I56" s="73"/>
      <c r="J56" s="73"/>
      <c r="K56" s="73"/>
      <c r="L56" s="73"/>
      <c r="M56" s="73"/>
      <c r="N56" s="73"/>
      <c r="O56" s="73"/>
      <c r="P56" s="73"/>
      <c r="Q56" s="73"/>
      <c r="R56" s="425">
        <f t="shared" si="0"/>
        <v>0</v>
      </c>
      <c r="S56" s="31"/>
    </row>
    <row r="57" spans="3:19" ht="12" customHeight="1" x14ac:dyDescent="0.2">
      <c r="C57" s="13"/>
      <c r="D57" s="19">
        <f>'Revenue - WHC'!D58</f>
        <v>47</v>
      </c>
      <c r="E57" s="71" t="str">
        <f>IF(OR('Services - WHC'!E56="",'Services - WHC'!E56="[Enter service]"),"",'Services - WHC'!E56)</f>
        <v/>
      </c>
      <c r="F57" s="72" t="str">
        <f>IF(OR('Services - WHC'!F56="",'Services - WHC'!F56="[Select]"),"",'Services - WHC'!F56)</f>
        <v/>
      </c>
      <c r="G57" s="26"/>
      <c r="H57" s="73"/>
      <c r="I57" s="73"/>
      <c r="J57" s="73"/>
      <c r="K57" s="73"/>
      <c r="L57" s="73"/>
      <c r="M57" s="73"/>
      <c r="N57" s="73"/>
      <c r="O57" s="73"/>
      <c r="P57" s="73"/>
      <c r="Q57" s="73"/>
      <c r="R57" s="425">
        <f t="shared" si="0"/>
        <v>0</v>
      </c>
      <c r="S57" s="31"/>
    </row>
    <row r="58" spans="3:19" ht="12" customHeight="1" x14ac:dyDescent="0.2">
      <c r="C58" s="13"/>
      <c r="D58" s="19">
        <f>'Revenue - WHC'!D59</f>
        <v>48</v>
      </c>
      <c r="E58" s="71" t="str">
        <f>IF(OR('Services - WHC'!E57="",'Services - WHC'!E57="[Enter service]"),"",'Services - WHC'!E57)</f>
        <v/>
      </c>
      <c r="F58" s="72" t="str">
        <f>IF(OR('Services - WHC'!F57="",'Services - WHC'!F57="[Select]"),"",'Services - WHC'!F57)</f>
        <v/>
      </c>
      <c r="G58" s="26"/>
      <c r="H58" s="73"/>
      <c r="I58" s="73"/>
      <c r="J58" s="73"/>
      <c r="K58" s="73"/>
      <c r="L58" s="73"/>
      <c r="M58" s="73"/>
      <c r="N58" s="73"/>
      <c r="O58" s="73"/>
      <c r="P58" s="73"/>
      <c r="Q58" s="73"/>
      <c r="R58" s="425">
        <f t="shared" si="0"/>
        <v>0</v>
      </c>
      <c r="S58" s="31"/>
    </row>
    <row r="59" spans="3:19" ht="12" customHeight="1" x14ac:dyDescent="0.2">
      <c r="C59" s="13"/>
      <c r="D59" s="19">
        <f>'Revenue - WHC'!D60</f>
        <v>49</v>
      </c>
      <c r="E59" s="71" t="str">
        <f>IF(OR('Services - WHC'!E58="",'Services - WHC'!E58="[Enter service]"),"",'Services - WHC'!E58)</f>
        <v/>
      </c>
      <c r="F59" s="72" t="str">
        <f>IF(OR('Services - WHC'!F58="",'Services - WHC'!F58="[Select]"),"",'Services - WHC'!F58)</f>
        <v/>
      </c>
      <c r="G59" s="26"/>
      <c r="H59" s="73"/>
      <c r="I59" s="73"/>
      <c r="J59" s="73"/>
      <c r="K59" s="73"/>
      <c r="L59" s="73"/>
      <c r="M59" s="73"/>
      <c r="N59" s="73"/>
      <c r="O59" s="73"/>
      <c r="P59" s="73"/>
      <c r="Q59" s="73"/>
      <c r="R59" s="425">
        <f t="shared" si="0"/>
        <v>0</v>
      </c>
      <c r="S59" s="31"/>
    </row>
    <row r="60" spans="3:19" ht="12" customHeight="1" x14ac:dyDescent="0.2">
      <c r="C60" s="13"/>
      <c r="D60" s="19">
        <f>'Revenue - WHC'!D61</f>
        <v>50</v>
      </c>
      <c r="E60" s="71" t="str">
        <f>IF(OR('Services - WHC'!E59="",'Services - WHC'!E59="[Enter service]"),"",'Services - WHC'!E59)</f>
        <v/>
      </c>
      <c r="F60" s="72" t="str">
        <f>IF(OR('Services - WHC'!F59="",'Services - WHC'!F59="[Select]"),"",'Services - WHC'!F59)</f>
        <v/>
      </c>
      <c r="G60" s="26"/>
      <c r="H60" s="73"/>
      <c r="I60" s="73"/>
      <c r="J60" s="73"/>
      <c r="K60" s="73"/>
      <c r="L60" s="73"/>
      <c r="M60" s="73"/>
      <c r="N60" s="73"/>
      <c r="O60" s="73"/>
      <c r="P60" s="73"/>
      <c r="Q60" s="73"/>
      <c r="R60" s="425">
        <f t="shared" si="0"/>
        <v>0</v>
      </c>
      <c r="S60" s="31"/>
    </row>
    <row r="61" spans="3:19" ht="12" customHeight="1" x14ac:dyDescent="0.2">
      <c r="C61" s="13"/>
      <c r="D61" s="19">
        <f>'Revenue - WHC'!D62</f>
        <v>51</v>
      </c>
      <c r="E61" s="71" t="str">
        <f>IF(OR('Services - WHC'!E60="",'Services - WHC'!E60="[Enter service]"),"",'Services - WHC'!E60)</f>
        <v/>
      </c>
      <c r="F61" s="72" t="str">
        <f>IF(OR('Services - WHC'!F60="",'Services - WHC'!F60="[Select]"),"",'Services - WHC'!F60)</f>
        <v/>
      </c>
      <c r="G61" s="26"/>
      <c r="H61" s="73"/>
      <c r="I61" s="73"/>
      <c r="J61" s="73"/>
      <c r="K61" s="73"/>
      <c r="L61" s="73"/>
      <c r="M61" s="73"/>
      <c r="N61" s="73"/>
      <c r="O61" s="73"/>
      <c r="P61" s="73"/>
      <c r="Q61" s="73"/>
      <c r="R61" s="425">
        <f t="shared" si="0"/>
        <v>0</v>
      </c>
      <c r="S61" s="31"/>
    </row>
    <row r="62" spans="3:19" ht="12" customHeight="1" x14ac:dyDescent="0.2">
      <c r="C62" s="13"/>
      <c r="D62" s="19">
        <f>'Revenue - WHC'!D63</f>
        <v>52</v>
      </c>
      <c r="E62" s="71" t="str">
        <f>IF(OR('Services - WHC'!E61="",'Services - WHC'!E61="[Enter service]"),"",'Services - WHC'!E61)</f>
        <v/>
      </c>
      <c r="F62" s="72" t="str">
        <f>IF(OR('Services - WHC'!F61="",'Services - WHC'!F61="[Select]"),"",'Services - WHC'!F61)</f>
        <v/>
      </c>
      <c r="G62" s="26"/>
      <c r="H62" s="73"/>
      <c r="I62" s="73"/>
      <c r="J62" s="73"/>
      <c r="K62" s="73"/>
      <c r="L62" s="73"/>
      <c r="M62" s="73"/>
      <c r="N62" s="73"/>
      <c r="O62" s="73"/>
      <c r="P62" s="73"/>
      <c r="Q62" s="73"/>
      <c r="R62" s="425">
        <f t="shared" si="0"/>
        <v>0</v>
      </c>
      <c r="S62" s="31"/>
    </row>
    <row r="63" spans="3:19" ht="12" customHeight="1" x14ac:dyDescent="0.2">
      <c r="C63" s="13"/>
      <c r="D63" s="19">
        <f>'Revenue - WHC'!D64</f>
        <v>53</v>
      </c>
      <c r="E63" s="71" t="str">
        <f>IF(OR('Services - WHC'!E62="",'Services - WHC'!E62="[Enter service]"),"",'Services - WHC'!E62)</f>
        <v/>
      </c>
      <c r="F63" s="72" t="str">
        <f>IF(OR('Services - WHC'!F62="",'Services - WHC'!F62="[Select]"),"",'Services - WHC'!F62)</f>
        <v/>
      </c>
      <c r="G63" s="26"/>
      <c r="H63" s="73"/>
      <c r="I63" s="73"/>
      <c r="J63" s="73"/>
      <c r="K63" s="73"/>
      <c r="L63" s="73"/>
      <c r="M63" s="73"/>
      <c r="N63" s="73"/>
      <c r="O63" s="73"/>
      <c r="P63" s="73"/>
      <c r="Q63" s="73"/>
      <c r="R63" s="425">
        <f t="shared" si="0"/>
        <v>0</v>
      </c>
      <c r="S63" s="31"/>
    </row>
    <row r="64" spans="3:19" ht="12" customHeight="1" x14ac:dyDescent="0.2">
      <c r="C64" s="13"/>
      <c r="D64" s="19">
        <f>'Revenue - WHC'!D65</f>
        <v>54</v>
      </c>
      <c r="E64" s="71" t="str">
        <f>IF(OR('Services - WHC'!E63="",'Services - WHC'!E63="[Enter service]"),"",'Services - WHC'!E63)</f>
        <v/>
      </c>
      <c r="F64" s="72" t="str">
        <f>IF(OR('Services - WHC'!F63="",'Services - WHC'!F63="[Select]"),"",'Services - WHC'!F63)</f>
        <v/>
      </c>
      <c r="G64" s="26"/>
      <c r="H64" s="73"/>
      <c r="I64" s="73"/>
      <c r="J64" s="73"/>
      <c r="K64" s="73"/>
      <c r="L64" s="73"/>
      <c r="M64" s="73"/>
      <c r="N64" s="73"/>
      <c r="O64" s="73"/>
      <c r="P64" s="73"/>
      <c r="Q64" s="73"/>
      <c r="R64" s="425">
        <f t="shared" si="0"/>
        <v>0</v>
      </c>
      <c r="S64" s="31"/>
    </row>
    <row r="65" spans="3:19" ht="12" customHeight="1" x14ac:dyDescent="0.2">
      <c r="C65" s="13"/>
      <c r="D65" s="19">
        <f>'Revenue - WHC'!D66</f>
        <v>55</v>
      </c>
      <c r="E65" s="71" t="str">
        <f>IF(OR('Services - WHC'!E64="",'Services - WHC'!E64="[Enter service]"),"",'Services - WHC'!E64)</f>
        <v/>
      </c>
      <c r="F65" s="72" t="str">
        <f>IF(OR('Services - WHC'!F64="",'Services - WHC'!F64="[Select]"),"",'Services - WHC'!F64)</f>
        <v/>
      </c>
      <c r="G65" s="26"/>
      <c r="H65" s="73"/>
      <c r="I65" s="73"/>
      <c r="J65" s="73"/>
      <c r="K65" s="73"/>
      <c r="L65" s="73"/>
      <c r="M65" s="73"/>
      <c r="N65" s="73"/>
      <c r="O65" s="73"/>
      <c r="P65" s="73"/>
      <c r="Q65" s="73"/>
      <c r="R65" s="425">
        <f t="shared" si="0"/>
        <v>0</v>
      </c>
      <c r="S65" s="31"/>
    </row>
    <row r="66" spans="3:19" ht="12" customHeight="1" x14ac:dyDescent="0.2">
      <c r="C66" s="13"/>
      <c r="D66" s="19">
        <f>'Revenue - WHC'!D67</f>
        <v>56</v>
      </c>
      <c r="E66" s="71" t="str">
        <f>IF(OR('Services - WHC'!E65="",'Services - WHC'!E65="[Enter service]"),"",'Services - WHC'!E65)</f>
        <v/>
      </c>
      <c r="F66" s="72" t="str">
        <f>IF(OR('Services - WHC'!F65="",'Services - WHC'!F65="[Select]"),"",'Services - WHC'!F65)</f>
        <v/>
      </c>
      <c r="G66" s="26"/>
      <c r="H66" s="73"/>
      <c r="I66" s="73"/>
      <c r="J66" s="73"/>
      <c r="K66" s="73"/>
      <c r="L66" s="73"/>
      <c r="M66" s="73"/>
      <c r="N66" s="73"/>
      <c r="O66" s="73"/>
      <c r="P66" s="73"/>
      <c r="Q66" s="73"/>
      <c r="R66" s="425">
        <f t="shared" si="0"/>
        <v>0</v>
      </c>
      <c r="S66" s="31"/>
    </row>
    <row r="67" spans="3:19" ht="12" customHeight="1" x14ac:dyDescent="0.2">
      <c r="C67" s="13"/>
      <c r="D67" s="19">
        <f>'Revenue - WHC'!D68</f>
        <v>57</v>
      </c>
      <c r="E67" s="71" t="str">
        <f>IF(OR('Services - WHC'!E66="",'Services - WHC'!E66="[Enter service]"),"",'Services - WHC'!E66)</f>
        <v/>
      </c>
      <c r="F67" s="72" t="str">
        <f>IF(OR('Services - WHC'!F66="",'Services - WHC'!F66="[Select]"),"",'Services - WHC'!F66)</f>
        <v/>
      </c>
      <c r="G67" s="26"/>
      <c r="H67" s="73"/>
      <c r="I67" s="73"/>
      <c r="J67" s="73"/>
      <c r="K67" s="73"/>
      <c r="L67" s="73"/>
      <c r="M67" s="73"/>
      <c r="N67" s="73"/>
      <c r="O67" s="73"/>
      <c r="P67" s="73"/>
      <c r="Q67" s="73"/>
      <c r="R67" s="425">
        <f t="shared" si="0"/>
        <v>0</v>
      </c>
      <c r="S67" s="31"/>
    </row>
    <row r="68" spans="3:19" ht="12" customHeight="1" x14ac:dyDescent="0.2">
      <c r="C68" s="13"/>
      <c r="D68" s="19">
        <f>'Revenue - WHC'!D69</f>
        <v>58</v>
      </c>
      <c r="E68" s="71" t="str">
        <f>IF(OR('Services - WHC'!E67="",'Services - WHC'!E67="[Enter service]"),"",'Services - WHC'!E67)</f>
        <v/>
      </c>
      <c r="F68" s="72" t="str">
        <f>IF(OR('Services - WHC'!F67="",'Services - WHC'!F67="[Select]"),"",'Services - WHC'!F67)</f>
        <v/>
      </c>
      <c r="G68" s="26"/>
      <c r="H68" s="73"/>
      <c r="I68" s="73"/>
      <c r="J68" s="73"/>
      <c r="K68" s="73"/>
      <c r="L68" s="73"/>
      <c r="M68" s="73"/>
      <c r="N68" s="73"/>
      <c r="O68" s="73"/>
      <c r="P68" s="73"/>
      <c r="Q68" s="73"/>
      <c r="R68" s="425">
        <f t="shared" si="0"/>
        <v>0</v>
      </c>
      <c r="S68" s="31"/>
    </row>
    <row r="69" spans="3:19" ht="12" customHeight="1" x14ac:dyDescent="0.2">
      <c r="C69" s="13"/>
      <c r="D69" s="19">
        <f>'Revenue - WHC'!D70</f>
        <v>59</v>
      </c>
      <c r="E69" s="71" t="str">
        <f>IF(OR('Services - WHC'!E68="",'Services - WHC'!E68="[Enter service]"),"",'Services - WHC'!E68)</f>
        <v/>
      </c>
      <c r="F69" s="72" t="str">
        <f>IF(OR('Services - WHC'!F68="",'Services - WHC'!F68="[Select]"),"",'Services - WHC'!F68)</f>
        <v/>
      </c>
      <c r="G69" s="26"/>
      <c r="H69" s="73"/>
      <c r="I69" s="73"/>
      <c r="J69" s="73"/>
      <c r="K69" s="73"/>
      <c r="L69" s="73"/>
      <c r="M69" s="73"/>
      <c r="N69" s="73"/>
      <c r="O69" s="73"/>
      <c r="P69" s="73"/>
      <c r="Q69" s="73"/>
      <c r="R69" s="425">
        <f t="shared" si="0"/>
        <v>0</v>
      </c>
      <c r="S69" s="31"/>
    </row>
    <row r="70" spans="3:19" ht="12" customHeight="1" x14ac:dyDescent="0.2">
      <c r="C70" s="13"/>
      <c r="D70" s="19">
        <f>'Revenue - WHC'!D71</f>
        <v>60</v>
      </c>
      <c r="E70" s="71" t="str">
        <f>IF(OR('Services - WHC'!E69="",'Services - WHC'!E69="[Enter service]"),"",'Services - WHC'!E69)</f>
        <v/>
      </c>
      <c r="F70" s="72" t="str">
        <f>IF(OR('Services - WHC'!F69="",'Services - WHC'!F69="[Select]"),"",'Services - WHC'!F69)</f>
        <v/>
      </c>
      <c r="G70" s="26"/>
      <c r="H70" s="73"/>
      <c r="I70" s="73"/>
      <c r="J70" s="73"/>
      <c r="K70" s="73"/>
      <c r="L70" s="73"/>
      <c r="M70" s="73"/>
      <c r="N70" s="73"/>
      <c r="O70" s="73"/>
      <c r="P70" s="73"/>
      <c r="Q70" s="73"/>
      <c r="R70" s="425">
        <f t="shared" si="0"/>
        <v>0</v>
      </c>
      <c r="S70" s="31"/>
    </row>
    <row r="71" spans="3:19" ht="12" customHeight="1" x14ac:dyDescent="0.2">
      <c r="C71" s="13"/>
      <c r="D71" s="19">
        <f>'Revenue - WHC'!D72</f>
        <v>61</v>
      </c>
      <c r="E71" s="71" t="str">
        <f>IF(OR('Services - WHC'!E70="",'Services - WHC'!E70="[Enter service]"),"",'Services - WHC'!E70)</f>
        <v/>
      </c>
      <c r="F71" s="72" t="str">
        <f>IF(OR('Services - WHC'!F70="",'Services - WHC'!F70="[Select]"),"",'Services - WHC'!F70)</f>
        <v/>
      </c>
      <c r="G71" s="26"/>
      <c r="H71" s="73"/>
      <c r="I71" s="73"/>
      <c r="J71" s="73"/>
      <c r="K71" s="73"/>
      <c r="L71" s="73"/>
      <c r="M71" s="73"/>
      <c r="N71" s="73"/>
      <c r="O71" s="73"/>
      <c r="P71" s="73"/>
      <c r="Q71" s="73"/>
      <c r="R71" s="425">
        <f t="shared" si="0"/>
        <v>0</v>
      </c>
      <c r="S71" s="31"/>
    </row>
    <row r="72" spans="3:19" ht="12" customHeight="1" x14ac:dyDescent="0.2">
      <c r="C72" s="13"/>
      <c r="D72" s="19">
        <f>'Revenue - WHC'!D73</f>
        <v>62</v>
      </c>
      <c r="E72" s="71" t="str">
        <f>IF(OR('Services - WHC'!E71="",'Services - WHC'!E71="[Enter service]"),"",'Services - WHC'!E71)</f>
        <v/>
      </c>
      <c r="F72" s="72" t="str">
        <f>IF(OR('Services - WHC'!F71="",'Services - WHC'!F71="[Select]"),"",'Services - WHC'!F71)</f>
        <v/>
      </c>
      <c r="G72" s="26"/>
      <c r="H72" s="73"/>
      <c r="I72" s="73"/>
      <c r="J72" s="73"/>
      <c r="K72" s="73"/>
      <c r="L72" s="73"/>
      <c r="M72" s="73"/>
      <c r="N72" s="73"/>
      <c r="O72" s="73"/>
      <c r="P72" s="73"/>
      <c r="Q72" s="73"/>
      <c r="R72" s="425">
        <f t="shared" si="0"/>
        <v>0</v>
      </c>
      <c r="S72" s="31"/>
    </row>
    <row r="73" spans="3:19" ht="12" customHeight="1" x14ac:dyDescent="0.2">
      <c r="C73" s="13"/>
      <c r="D73" s="19">
        <f>'Revenue - WHC'!D74</f>
        <v>63</v>
      </c>
      <c r="E73" s="71" t="str">
        <f>IF(OR('Services - WHC'!E72="",'Services - WHC'!E72="[Enter service]"),"",'Services - WHC'!E72)</f>
        <v/>
      </c>
      <c r="F73" s="72" t="str">
        <f>IF(OR('Services - WHC'!F72="",'Services - WHC'!F72="[Select]"),"",'Services - WHC'!F72)</f>
        <v/>
      </c>
      <c r="G73" s="26"/>
      <c r="H73" s="73"/>
      <c r="I73" s="73"/>
      <c r="J73" s="73"/>
      <c r="K73" s="73"/>
      <c r="L73" s="73"/>
      <c r="M73" s="73"/>
      <c r="N73" s="73"/>
      <c r="O73" s="73"/>
      <c r="P73" s="73"/>
      <c r="Q73" s="73"/>
      <c r="R73" s="425">
        <f t="shared" si="0"/>
        <v>0</v>
      </c>
      <c r="S73" s="31"/>
    </row>
    <row r="74" spans="3:19" ht="12" customHeight="1" x14ac:dyDescent="0.2">
      <c r="C74" s="13"/>
      <c r="D74" s="19">
        <f>'Revenue - WHC'!D75</f>
        <v>64</v>
      </c>
      <c r="E74" s="71" t="str">
        <f>IF(OR('Services - WHC'!E73="",'Services - WHC'!E73="[Enter service]"),"",'Services - WHC'!E73)</f>
        <v/>
      </c>
      <c r="F74" s="72" t="str">
        <f>IF(OR('Services - WHC'!F73="",'Services - WHC'!F73="[Select]"),"",'Services - WHC'!F73)</f>
        <v/>
      </c>
      <c r="G74" s="26"/>
      <c r="H74" s="73"/>
      <c r="I74" s="73"/>
      <c r="J74" s="73"/>
      <c r="K74" s="73"/>
      <c r="L74" s="73"/>
      <c r="M74" s="73"/>
      <c r="N74" s="73"/>
      <c r="O74" s="73"/>
      <c r="P74" s="73"/>
      <c r="Q74" s="73"/>
      <c r="R74" s="425">
        <f t="shared" si="0"/>
        <v>0</v>
      </c>
      <c r="S74" s="31"/>
    </row>
    <row r="75" spans="3:19" ht="12" customHeight="1" x14ac:dyDescent="0.2">
      <c r="C75" s="13"/>
      <c r="D75" s="19">
        <f>'Revenue - WHC'!D76</f>
        <v>65</v>
      </c>
      <c r="E75" s="71" t="str">
        <f>IF(OR('Services - WHC'!E74="",'Services - WHC'!E74="[Enter service]"),"",'Services - WHC'!E74)</f>
        <v/>
      </c>
      <c r="F75" s="72" t="str">
        <f>IF(OR('Services - WHC'!F74="",'Services - WHC'!F74="[Select]"),"",'Services - WHC'!F74)</f>
        <v/>
      </c>
      <c r="G75" s="26"/>
      <c r="H75" s="73"/>
      <c r="I75" s="73"/>
      <c r="J75" s="73"/>
      <c r="K75" s="73"/>
      <c r="L75" s="73"/>
      <c r="M75" s="73"/>
      <c r="N75" s="73"/>
      <c r="O75" s="73"/>
      <c r="P75" s="73"/>
      <c r="Q75" s="73"/>
      <c r="R75" s="425">
        <f t="shared" si="0"/>
        <v>0</v>
      </c>
      <c r="S75" s="31"/>
    </row>
    <row r="76" spans="3:19" ht="12" customHeight="1" x14ac:dyDescent="0.2">
      <c r="C76" s="13"/>
      <c r="D76" s="19">
        <f>'Revenue - WHC'!D77</f>
        <v>66</v>
      </c>
      <c r="E76" s="71" t="str">
        <f>IF(OR('Services - WHC'!E75="",'Services - WHC'!E75="[Enter service]"),"",'Services - WHC'!E75)</f>
        <v/>
      </c>
      <c r="F76" s="72" t="str">
        <f>IF(OR('Services - WHC'!F75="",'Services - WHC'!F75="[Select]"),"",'Services - WHC'!F75)</f>
        <v/>
      </c>
      <c r="G76" s="26"/>
      <c r="H76" s="73"/>
      <c r="I76" s="73"/>
      <c r="J76" s="73"/>
      <c r="K76" s="73"/>
      <c r="L76" s="73"/>
      <c r="M76" s="73"/>
      <c r="N76" s="73"/>
      <c r="O76" s="73"/>
      <c r="P76" s="73"/>
      <c r="Q76" s="73"/>
      <c r="R76" s="425">
        <f t="shared" ref="R76:R151" si="1">SUM(H76:Q76)</f>
        <v>0</v>
      </c>
      <c r="S76" s="31"/>
    </row>
    <row r="77" spans="3:19" ht="12" customHeight="1" x14ac:dyDescent="0.2">
      <c r="C77" s="13"/>
      <c r="D77" s="19">
        <f>'Revenue - WHC'!D78</f>
        <v>67</v>
      </c>
      <c r="E77" s="71" t="str">
        <f>IF(OR('Services - WHC'!E76="",'Services - WHC'!E76="[Enter service]"),"",'Services - WHC'!E76)</f>
        <v/>
      </c>
      <c r="F77" s="72" t="str">
        <f>IF(OR('Services - WHC'!F76="",'Services - WHC'!F76="[Select]"),"",'Services - WHC'!F76)</f>
        <v/>
      </c>
      <c r="G77" s="26"/>
      <c r="H77" s="73"/>
      <c r="I77" s="73"/>
      <c r="J77" s="73"/>
      <c r="K77" s="73"/>
      <c r="L77" s="73"/>
      <c r="M77" s="73"/>
      <c r="N77" s="73"/>
      <c r="O77" s="73"/>
      <c r="P77" s="73"/>
      <c r="Q77" s="73"/>
      <c r="R77" s="425">
        <f t="shared" si="1"/>
        <v>0</v>
      </c>
      <c r="S77" s="31"/>
    </row>
    <row r="78" spans="3:19" ht="12" customHeight="1" x14ac:dyDescent="0.2">
      <c r="C78" s="13"/>
      <c r="D78" s="19">
        <f>'Revenue - WHC'!D79</f>
        <v>68</v>
      </c>
      <c r="E78" s="71" t="str">
        <f>IF(OR('Services - WHC'!E77="",'Services - WHC'!E77="[Enter service]"),"",'Services - WHC'!E77)</f>
        <v/>
      </c>
      <c r="F78" s="72" t="str">
        <f>IF(OR('Services - WHC'!F77="",'Services - WHC'!F77="[Select]"),"",'Services - WHC'!F77)</f>
        <v/>
      </c>
      <c r="G78" s="26"/>
      <c r="H78" s="73"/>
      <c r="I78" s="73"/>
      <c r="J78" s="73"/>
      <c r="K78" s="73"/>
      <c r="L78" s="73"/>
      <c r="M78" s="73"/>
      <c r="N78" s="73"/>
      <c r="O78" s="73"/>
      <c r="P78" s="73"/>
      <c r="Q78" s="73"/>
      <c r="R78" s="425">
        <f t="shared" si="1"/>
        <v>0</v>
      </c>
      <c r="S78" s="31"/>
    </row>
    <row r="79" spans="3:19" ht="12" customHeight="1" x14ac:dyDescent="0.2">
      <c r="C79" s="13"/>
      <c r="D79" s="19">
        <f>'Revenue - WHC'!D80</f>
        <v>69</v>
      </c>
      <c r="E79" s="71" t="str">
        <f>IF(OR('Services - WHC'!E78="",'Services - WHC'!E78="[Enter service]"),"",'Services - WHC'!E78)</f>
        <v/>
      </c>
      <c r="F79" s="72" t="str">
        <f>IF(OR('Services - WHC'!F78="",'Services - WHC'!F78="[Select]"),"",'Services - WHC'!F78)</f>
        <v/>
      </c>
      <c r="G79" s="26"/>
      <c r="H79" s="73"/>
      <c r="I79" s="73"/>
      <c r="J79" s="73"/>
      <c r="K79" s="73"/>
      <c r="L79" s="73"/>
      <c r="M79" s="73"/>
      <c r="N79" s="73"/>
      <c r="O79" s="73"/>
      <c r="P79" s="73"/>
      <c r="Q79" s="73"/>
      <c r="R79" s="425">
        <f t="shared" si="1"/>
        <v>0</v>
      </c>
      <c r="S79" s="31"/>
    </row>
    <row r="80" spans="3:19" ht="12" customHeight="1" x14ac:dyDescent="0.2">
      <c r="C80" s="13"/>
      <c r="D80" s="19">
        <f>'Revenue - WHC'!D81</f>
        <v>70</v>
      </c>
      <c r="E80" s="71" t="str">
        <f>IF(OR('Services - WHC'!E79="",'Services - WHC'!E79="[Enter service]"),"",'Services - WHC'!E79)</f>
        <v/>
      </c>
      <c r="F80" s="72" t="str">
        <f>IF(OR('Services - WHC'!F79="",'Services - WHC'!F79="[Select]"),"",'Services - WHC'!F79)</f>
        <v/>
      </c>
      <c r="G80" s="26"/>
      <c r="H80" s="73"/>
      <c r="I80" s="73"/>
      <c r="J80" s="73"/>
      <c r="K80" s="73"/>
      <c r="L80" s="73"/>
      <c r="M80" s="73"/>
      <c r="N80" s="73"/>
      <c r="O80" s="73"/>
      <c r="P80" s="73"/>
      <c r="Q80" s="73"/>
      <c r="R80" s="425">
        <f t="shared" si="1"/>
        <v>0</v>
      </c>
      <c r="S80" s="31"/>
    </row>
    <row r="81" spans="3:19" ht="12" customHeight="1" x14ac:dyDescent="0.2">
      <c r="C81" s="13"/>
      <c r="D81" s="19">
        <f>'Revenue - WHC'!D82</f>
        <v>71</v>
      </c>
      <c r="E81" s="71" t="str">
        <f>IF(OR('Services - WHC'!E80="",'Services - WHC'!E80="[Enter service]"),"",'Services - WHC'!E80)</f>
        <v/>
      </c>
      <c r="F81" s="72" t="str">
        <f>IF(OR('Services - WHC'!F80="",'Services - WHC'!F80="[Select]"),"",'Services - WHC'!F80)</f>
        <v/>
      </c>
      <c r="G81" s="26"/>
      <c r="H81" s="73"/>
      <c r="I81" s="73"/>
      <c r="J81" s="73"/>
      <c r="K81" s="73"/>
      <c r="L81" s="73"/>
      <c r="M81" s="73"/>
      <c r="N81" s="73"/>
      <c r="O81" s="73"/>
      <c r="P81" s="73"/>
      <c r="Q81" s="73"/>
      <c r="R81" s="425">
        <f t="shared" si="1"/>
        <v>0</v>
      </c>
      <c r="S81" s="31"/>
    </row>
    <row r="82" spans="3:19" ht="12" customHeight="1" x14ac:dyDescent="0.2">
      <c r="C82" s="13"/>
      <c r="D82" s="19">
        <f>'Revenue - WHC'!D83</f>
        <v>72</v>
      </c>
      <c r="E82" s="71" t="str">
        <f>IF(OR('Services - WHC'!E81="",'Services - WHC'!E81="[Enter service]"),"",'Services - WHC'!E81)</f>
        <v/>
      </c>
      <c r="F82" s="72" t="str">
        <f>IF(OR('Services - WHC'!F81="",'Services - WHC'!F81="[Select]"),"",'Services - WHC'!F81)</f>
        <v/>
      </c>
      <c r="G82" s="26"/>
      <c r="H82" s="73"/>
      <c r="I82" s="73"/>
      <c r="J82" s="73"/>
      <c r="K82" s="73"/>
      <c r="L82" s="73"/>
      <c r="M82" s="73"/>
      <c r="N82" s="73"/>
      <c r="O82" s="73"/>
      <c r="P82" s="73"/>
      <c r="Q82" s="73"/>
      <c r="R82" s="425">
        <f t="shared" si="1"/>
        <v>0</v>
      </c>
      <c r="S82" s="31"/>
    </row>
    <row r="83" spans="3:19" ht="12" customHeight="1" x14ac:dyDescent="0.2">
      <c r="C83" s="13"/>
      <c r="D83" s="19">
        <f>'Revenue - WHC'!D84</f>
        <v>73</v>
      </c>
      <c r="E83" s="71" t="str">
        <f>IF(OR('Services - WHC'!E82="",'Services - WHC'!E82="[Enter service]"),"",'Services - WHC'!E82)</f>
        <v/>
      </c>
      <c r="F83" s="72" t="str">
        <f>IF(OR('Services - WHC'!F82="",'Services - WHC'!F82="[Select]"),"",'Services - WHC'!F82)</f>
        <v/>
      </c>
      <c r="G83" s="26"/>
      <c r="H83" s="73"/>
      <c r="I83" s="73"/>
      <c r="J83" s="73"/>
      <c r="K83" s="73"/>
      <c r="L83" s="73"/>
      <c r="M83" s="73"/>
      <c r="N83" s="73"/>
      <c r="O83" s="73"/>
      <c r="P83" s="73"/>
      <c r="Q83" s="73"/>
      <c r="R83" s="425">
        <f t="shared" si="1"/>
        <v>0</v>
      </c>
      <c r="S83" s="31"/>
    </row>
    <row r="84" spans="3:19" ht="12" customHeight="1" x14ac:dyDescent="0.2">
      <c r="C84" s="13"/>
      <c r="D84" s="19">
        <f>'Revenue - WHC'!D85</f>
        <v>74</v>
      </c>
      <c r="E84" s="71" t="str">
        <f>IF(OR('Services - WHC'!E83="",'Services - WHC'!E83="[Enter service]"),"",'Services - WHC'!E83)</f>
        <v/>
      </c>
      <c r="F84" s="72" t="str">
        <f>IF(OR('Services - WHC'!F83="",'Services - WHC'!F83="[Select]"),"",'Services - WHC'!F83)</f>
        <v/>
      </c>
      <c r="G84" s="26"/>
      <c r="H84" s="73"/>
      <c r="I84" s="73"/>
      <c r="J84" s="73"/>
      <c r="K84" s="73"/>
      <c r="L84" s="73"/>
      <c r="M84" s="73"/>
      <c r="N84" s="73"/>
      <c r="O84" s="73"/>
      <c r="P84" s="73"/>
      <c r="Q84" s="73"/>
      <c r="R84" s="425">
        <f t="shared" si="1"/>
        <v>0</v>
      </c>
      <c r="S84" s="31"/>
    </row>
    <row r="85" spans="3:19" ht="12" customHeight="1" x14ac:dyDescent="0.2">
      <c r="C85" s="13"/>
      <c r="D85" s="19">
        <f>'Revenue - WHC'!D86</f>
        <v>75</v>
      </c>
      <c r="E85" s="71" t="str">
        <f>IF(OR('Services - WHC'!E84="",'Services - WHC'!E84="[Enter service]"),"",'Services - WHC'!E84)</f>
        <v/>
      </c>
      <c r="F85" s="72" t="str">
        <f>IF(OR('Services - WHC'!F84="",'Services - WHC'!F84="[Select]"),"",'Services - WHC'!F84)</f>
        <v/>
      </c>
      <c r="G85" s="26"/>
      <c r="H85" s="73"/>
      <c r="I85" s="73"/>
      <c r="J85" s="73"/>
      <c r="K85" s="73"/>
      <c r="L85" s="73"/>
      <c r="M85" s="73"/>
      <c r="N85" s="73"/>
      <c r="O85" s="73"/>
      <c r="P85" s="73"/>
      <c r="Q85" s="73"/>
      <c r="R85" s="425">
        <f t="shared" si="1"/>
        <v>0</v>
      </c>
      <c r="S85" s="31"/>
    </row>
    <row r="86" spans="3:19" ht="12" customHeight="1" x14ac:dyDescent="0.2">
      <c r="C86" s="13"/>
      <c r="D86" s="19">
        <f>'Revenue - WHC'!D87</f>
        <v>76</v>
      </c>
      <c r="E86" s="71" t="str">
        <f>IF(OR('Services - WHC'!E85="",'Services - WHC'!E85="[Enter service]"),"",'Services - WHC'!E85)</f>
        <v/>
      </c>
      <c r="F86" s="72" t="str">
        <f>IF(OR('Services - WHC'!F85="",'Services - WHC'!F85="[Select]"),"",'Services - WHC'!F85)</f>
        <v/>
      </c>
      <c r="G86" s="26"/>
      <c r="H86" s="73"/>
      <c r="I86" s="73"/>
      <c r="J86" s="73"/>
      <c r="K86" s="73"/>
      <c r="L86" s="73"/>
      <c r="M86" s="73"/>
      <c r="N86" s="73"/>
      <c r="O86" s="73"/>
      <c r="P86" s="73"/>
      <c r="Q86" s="73"/>
      <c r="R86" s="425">
        <f t="shared" si="1"/>
        <v>0</v>
      </c>
      <c r="S86" s="31"/>
    </row>
    <row r="87" spans="3:19" ht="12" customHeight="1" x14ac:dyDescent="0.2">
      <c r="C87" s="13"/>
      <c r="D87" s="19">
        <f>'Revenue - WHC'!D88</f>
        <v>77</v>
      </c>
      <c r="E87" s="71" t="str">
        <f>IF(OR('Services - WHC'!E86="",'Services - WHC'!E86="[Enter service]"),"",'Services - WHC'!E86)</f>
        <v/>
      </c>
      <c r="F87" s="72" t="str">
        <f>IF(OR('Services - WHC'!F86="",'Services - WHC'!F86="[Select]"),"",'Services - WHC'!F86)</f>
        <v/>
      </c>
      <c r="G87" s="26"/>
      <c r="H87" s="73"/>
      <c r="I87" s="73"/>
      <c r="J87" s="73"/>
      <c r="K87" s="73"/>
      <c r="L87" s="73"/>
      <c r="M87" s="73"/>
      <c r="N87" s="73"/>
      <c r="O87" s="73"/>
      <c r="P87" s="73"/>
      <c r="Q87" s="73"/>
      <c r="R87" s="425">
        <f t="shared" si="1"/>
        <v>0</v>
      </c>
      <c r="S87" s="31"/>
    </row>
    <row r="88" spans="3:19" ht="12" customHeight="1" x14ac:dyDescent="0.2">
      <c r="C88" s="13"/>
      <c r="D88" s="19">
        <f>'Revenue - WHC'!D89</f>
        <v>78</v>
      </c>
      <c r="E88" s="71" t="str">
        <f>IF(OR('Services - WHC'!E87="",'Services - WHC'!E87="[Enter service]"),"",'Services - WHC'!E87)</f>
        <v/>
      </c>
      <c r="F88" s="72" t="str">
        <f>IF(OR('Services - WHC'!F87="",'Services - WHC'!F87="[Select]"),"",'Services - WHC'!F87)</f>
        <v/>
      </c>
      <c r="G88" s="26"/>
      <c r="H88" s="73"/>
      <c r="I88" s="73"/>
      <c r="J88" s="73"/>
      <c r="K88" s="73"/>
      <c r="L88" s="73"/>
      <c r="M88" s="73"/>
      <c r="N88" s="73"/>
      <c r="O88" s="73"/>
      <c r="P88" s="73"/>
      <c r="Q88" s="73"/>
      <c r="R88" s="425">
        <f t="shared" si="1"/>
        <v>0</v>
      </c>
      <c r="S88" s="31"/>
    </row>
    <row r="89" spans="3:19" ht="12" customHeight="1" x14ac:dyDescent="0.2">
      <c r="C89" s="13"/>
      <c r="D89" s="19">
        <f>'Revenue - WHC'!D90</f>
        <v>79</v>
      </c>
      <c r="E89" s="71" t="str">
        <f>IF(OR('Services - WHC'!E88="",'Services - WHC'!E88="[Enter service]"),"",'Services - WHC'!E88)</f>
        <v/>
      </c>
      <c r="F89" s="72" t="str">
        <f>IF(OR('Services - WHC'!F88="",'Services - WHC'!F88="[Select]"),"",'Services - WHC'!F88)</f>
        <v/>
      </c>
      <c r="G89" s="26"/>
      <c r="H89" s="73"/>
      <c r="I89" s="73"/>
      <c r="J89" s="73"/>
      <c r="K89" s="73"/>
      <c r="L89" s="73"/>
      <c r="M89" s="73"/>
      <c r="N89" s="73"/>
      <c r="O89" s="73"/>
      <c r="P89" s="73"/>
      <c r="Q89" s="73"/>
      <c r="R89" s="425">
        <f t="shared" si="1"/>
        <v>0</v>
      </c>
      <c r="S89" s="31"/>
    </row>
    <row r="90" spans="3:19" ht="12" customHeight="1" x14ac:dyDescent="0.2">
      <c r="C90" s="13"/>
      <c r="D90" s="19">
        <f>'Revenue - WHC'!D91</f>
        <v>80</v>
      </c>
      <c r="E90" s="71" t="str">
        <f>IF(OR('Services - WHC'!E89="",'Services - WHC'!E89="[Enter service]"),"",'Services - WHC'!E89)</f>
        <v/>
      </c>
      <c r="F90" s="72" t="str">
        <f>IF(OR('Services - WHC'!F89="",'Services - WHC'!F89="[Select]"),"",'Services - WHC'!F89)</f>
        <v/>
      </c>
      <c r="G90" s="26"/>
      <c r="H90" s="73"/>
      <c r="I90" s="73"/>
      <c r="J90" s="73"/>
      <c r="K90" s="73"/>
      <c r="L90" s="73"/>
      <c r="M90" s="73"/>
      <c r="N90" s="73"/>
      <c r="O90" s="73"/>
      <c r="P90" s="73"/>
      <c r="Q90" s="73"/>
      <c r="R90" s="425">
        <f t="shared" si="1"/>
        <v>0</v>
      </c>
      <c r="S90" s="31"/>
    </row>
    <row r="91" spans="3:19" ht="12" customHeight="1" x14ac:dyDescent="0.2">
      <c r="C91" s="13"/>
      <c r="D91" s="19">
        <f>'Revenue - WHC'!D92</f>
        <v>81</v>
      </c>
      <c r="E91" s="71" t="str">
        <f>IF(OR('Services - WHC'!E90="",'Services - WHC'!E90="[Enter service]"),"",'Services - WHC'!E90)</f>
        <v/>
      </c>
      <c r="F91" s="72" t="str">
        <f>IF(OR('Services - WHC'!F90="",'Services - WHC'!F90="[Select]"),"",'Services - WHC'!F90)</f>
        <v/>
      </c>
      <c r="G91" s="26"/>
      <c r="H91" s="73"/>
      <c r="I91" s="73"/>
      <c r="J91" s="73"/>
      <c r="K91" s="73"/>
      <c r="L91" s="73"/>
      <c r="M91" s="73"/>
      <c r="N91" s="73"/>
      <c r="O91" s="73"/>
      <c r="P91" s="73"/>
      <c r="Q91" s="73"/>
      <c r="R91" s="425">
        <f t="shared" si="1"/>
        <v>0</v>
      </c>
      <c r="S91" s="31"/>
    </row>
    <row r="92" spans="3:19" ht="12" customHeight="1" x14ac:dyDescent="0.2">
      <c r="C92" s="13"/>
      <c r="D92" s="19">
        <f>'Revenue - WHC'!D93</f>
        <v>82</v>
      </c>
      <c r="E92" s="71" t="str">
        <f>IF(OR('Services - WHC'!E91="",'Services - WHC'!E91="[Enter service]"),"",'Services - WHC'!E91)</f>
        <v/>
      </c>
      <c r="F92" s="72" t="str">
        <f>IF(OR('Services - WHC'!F91="",'Services - WHC'!F91="[Select]"),"",'Services - WHC'!F91)</f>
        <v/>
      </c>
      <c r="G92" s="26"/>
      <c r="H92" s="73"/>
      <c r="I92" s="73"/>
      <c r="J92" s="73"/>
      <c r="K92" s="73"/>
      <c r="L92" s="73"/>
      <c r="M92" s="73"/>
      <c r="N92" s="73"/>
      <c r="O92" s="73"/>
      <c r="P92" s="73"/>
      <c r="Q92" s="73"/>
      <c r="R92" s="425">
        <f t="shared" si="1"/>
        <v>0</v>
      </c>
      <c r="S92" s="31"/>
    </row>
    <row r="93" spans="3:19" ht="12" customHeight="1" x14ac:dyDescent="0.2">
      <c r="C93" s="13"/>
      <c r="D93" s="19">
        <f>'Revenue - WHC'!D94</f>
        <v>83</v>
      </c>
      <c r="E93" s="71" t="str">
        <f>IF(OR('Services - WHC'!E92="",'Services - WHC'!E92="[Enter service]"),"",'Services - WHC'!E92)</f>
        <v/>
      </c>
      <c r="F93" s="72" t="str">
        <f>IF(OR('Services - WHC'!F92="",'Services - WHC'!F92="[Select]"),"",'Services - WHC'!F92)</f>
        <v/>
      </c>
      <c r="G93" s="26"/>
      <c r="H93" s="73"/>
      <c r="I93" s="73"/>
      <c r="J93" s="73"/>
      <c r="K93" s="73"/>
      <c r="L93" s="73"/>
      <c r="M93" s="73"/>
      <c r="N93" s="73"/>
      <c r="O93" s="73"/>
      <c r="P93" s="73"/>
      <c r="Q93" s="73"/>
      <c r="R93" s="425">
        <f t="shared" si="1"/>
        <v>0</v>
      </c>
      <c r="S93" s="31"/>
    </row>
    <row r="94" spans="3:19" ht="12" customHeight="1" x14ac:dyDescent="0.2">
      <c r="C94" s="13"/>
      <c r="D94" s="19">
        <f>'Revenue - WHC'!D95</f>
        <v>84</v>
      </c>
      <c r="E94" s="71" t="str">
        <f>IF(OR('Services - WHC'!E93="",'Services - WHC'!E93="[Enter service]"),"",'Services - WHC'!E93)</f>
        <v/>
      </c>
      <c r="F94" s="72" t="str">
        <f>IF(OR('Services - WHC'!F93="",'Services - WHC'!F93="[Select]"),"",'Services - WHC'!F93)</f>
        <v/>
      </c>
      <c r="G94" s="26"/>
      <c r="H94" s="73"/>
      <c r="I94" s="73"/>
      <c r="J94" s="73"/>
      <c r="K94" s="73"/>
      <c r="L94" s="73"/>
      <c r="M94" s="73"/>
      <c r="N94" s="73"/>
      <c r="O94" s="73"/>
      <c r="P94" s="73"/>
      <c r="Q94" s="73"/>
      <c r="R94" s="425">
        <f t="shared" si="1"/>
        <v>0</v>
      </c>
      <c r="S94" s="31"/>
    </row>
    <row r="95" spans="3:19" ht="12" customHeight="1" x14ac:dyDescent="0.2">
      <c r="C95" s="13"/>
      <c r="D95" s="19">
        <f>'Revenue - WHC'!D96</f>
        <v>85</v>
      </c>
      <c r="E95" s="71" t="str">
        <f>IF(OR('Services - WHC'!E94="",'Services - WHC'!E94="[Enter service]"),"",'Services - WHC'!E94)</f>
        <v/>
      </c>
      <c r="F95" s="72" t="str">
        <f>IF(OR('Services - WHC'!F94="",'Services - WHC'!F94="[Select]"),"",'Services - WHC'!F94)</f>
        <v/>
      </c>
      <c r="G95" s="26"/>
      <c r="H95" s="73"/>
      <c r="I95" s="73"/>
      <c r="J95" s="73"/>
      <c r="K95" s="73"/>
      <c r="L95" s="73"/>
      <c r="M95" s="73"/>
      <c r="N95" s="73"/>
      <c r="O95" s="73"/>
      <c r="P95" s="73"/>
      <c r="Q95" s="73"/>
      <c r="R95" s="425">
        <f t="shared" si="1"/>
        <v>0</v>
      </c>
      <c r="S95" s="31"/>
    </row>
    <row r="96" spans="3:19" ht="12" customHeight="1" x14ac:dyDescent="0.2">
      <c r="C96" s="13"/>
      <c r="D96" s="19">
        <f>'Revenue - WHC'!D97</f>
        <v>86</v>
      </c>
      <c r="E96" s="71" t="str">
        <f>IF(OR('Services - WHC'!E95="",'Services - WHC'!E95="[Enter service]"),"",'Services - WHC'!E95)</f>
        <v/>
      </c>
      <c r="F96" s="72" t="str">
        <f>IF(OR('Services - WHC'!F95="",'Services - WHC'!F95="[Select]"),"",'Services - WHC'!F95)</f>
        <v/>
      </c>
      <c r="G96" s="26"/>
      <c r="H96" s="73"/>
      <c r="I96" s="73"/>
      <c r="J96" s="73"/>
      <c r="K96" s="73"/>
      <c r="L96" s="73"/>
      <c r="M96" s="73"/>
      <c r="N96" s="73"/>
      <c r="O96" s="73"/>
      <c r="P96" s="73"/>
      <c r="Q96" s="73"/>
      <c r="R96" s="425">
        <f t="shared" si="1"/>
        <v>0</v>
      </c>
      <c r="S96" s="31"/>
    </row>
    <row r="97" spans="3:19" ht="12" customHeight="1" x14ac:dyDescent="0.2">
      <c r="C97" s="13"/>
      <c r="D97" s="19">
        <f>'Revenue - WHC'!D98</f>
        <v>87</v>
      </c>
      <c r="E97" s="71" t="str">
        <f>IF(OR('Services - WHC'!E96="",'Services - WHC'!E96="[Enter service]"),"",'Services - WHC'!E96)</f>
        <v/>
      </c>
      <c r="F97" s="72" t="str">
        <f>IF(OR('Services - WHC'!F96="",'Services - WHC'!F96="[Select]"),"",'Services - WHC'!F96)</f>
        <v/>
      </c>
      <c r="G97" s="26"/>
      <c r="H97" s="73"/>
      <c r="I97" s="73"/>
      <c r="J97" s="73"/>
      <c r="K97" s="73"/>
      <c r="L97" s="73"/>
      <c r="M97" s="73"/>
      <c r="N97" s="73"/>
      <c r="O97" s="73"/>
      <c r="P97" s="73"/>
      <c r="Q97" s="73"/>
      <c r="R97" s="425">
        <f t="shared" si="1"/>
        <v>0</v>
      </c>
      <c r="S97" s="31"/>
    </row>
    <row r="98" spans="3:19" ht="12" customHeight="1" x14ac:dyDescent="0.2">
      <c r="C98" s="13"/>
      <c r="D98" s="19">
        <f>'Revenue - WHC'!D99</f>
        <v>88</v>
      </c>
      <c r="E98" s="71" t="str">
        <f>IF(OR('Services - WHC'!E97="",'Services - WHC'!E97="[Enter service]"),"",'Services - WHC'!E97)</f>
        <v/>
      </c>
      <c r="F98" s="72" t="str">
        <f>IF(OR('Services - WHC'!F97="",'Services - WHC'!F97="[Select]"),"",'Services - WHC'!F97)</f>
        <v/>
      </c>
      <c r="G98" s="26"/>
      <c r="H98" s="73"/>
      <c r="I98" s="73"/>
      <c r="J98" s="73"/>
      <c r="K98" s="73"/>
      <c r="L98" s="73"/>
      <c r="M98" s="73"/>
      <c r="N98" s="73"/>
      <c r="O98" s="73"/>
      <c r="P98" s="73"/>
      <c r="Q98" s="73"/>
      <c r="R98" s="425">
        <f t="shared" si="1"/>
        <v>0</v>
      </c>
      <c r="S98" s="31"/>
    </row>
    <row r="99" spans="3:19" ht="12" customHeight="1" x14ac:dyDescent="0.2">
      <c r="C99" s="13"/>
      <c r="D99" s="19">
        <f>'Revenue - WHC'!D100</f>
        <v>89</v>
      </c>
      <c r="E99" s="71" t="str">
        <f>IF(OR('Services - WHC'!E98="",'Services - WHC'!E98="[Enter service]"),"",'Services - WHC'!E98)</f>
        <v/>
      </c>
      <c r="F99" s="72" t="str">
        <f>IF(OR('Services - WHC'!F98="",'Services - WHC'!F98="[Select]"),"",'Services - WHC'!F98)</f>
        <v/>
      </c>
      <c r="G99" s="26"/>
      <c r="H99" s="73"/>
      <c r="I99" s="73"/>
      <c r="J99" s="73"/>
      <c r="K99" s="73"/>
      <c r="L99" s="73"/>
      <c r="M99" s="73"/>
      <c r="N99" s="73"/>
      <c r="O99" s="73"/>
      <c r="P99" s="73"/>
      <c r="Q99" s="73"/>
      <c r="R99" s="425">
        <f t="shared" si="1"/>
        <v>0</v>
      </c>
      <c r="S99" s="31"/>
    </row>
    <row r="100" spans="3:19" ht="12" customHeight="1" x14ac:dyDescent="0.2">
      <c r="C100" s="13"/>
      <c r="D100" s="19">
        <f>'Revenue - WHC'!D101</f>
        <v>90</v>
      </c>
      <c r="E100" s="71" t="str">
        <f>IF(OR('Services - WHC'!E99="",'Services - WHC'!E99="[Enter service]"),"",'Services - WHC'!E99)</f>
        <v/>
      </c>
      <c r="F100" s="72" t="str">
        <f>IF(OR('Services - WHC'!F99="",'Services - WHC'!F99="[Select]"),"",'Services - WHC'!F99)</f>
        <v/>
      </c>
      <c r="G100" s="26"/>
      <c r="H100" s="73"/>
      <c r="I100" s="73"/>
      <c r="J100" s="73"/>
      <c r="K100" s="73"/>
      <c r="L100" s="73"/>
      <c r="M100" s="73"/>
      <c r="N100" s="73"/>
      <c r="O100" s="73"/>
      <c r="P100" s="73"/>
      <c r="Q100" s="73"/>
      <c r="R100" s="425">
        <f t="shared" si="1"/>
        <v>0</v>
      </c>
      <c r="S100" s="31"/>
    </row>
    <row r="101" spans="3:19" ht="12" customHeight="1" x14ac:dyDescent="0.2">
      <c r="C101" s="13"/>
      <c r="D101" s="19">
        <f>'Revenue - WHC'!D102</f>
        <v>91</v>
      </c>
      <c r="E101" s="71" t="str">
        <f>IF(OR('Services - WHC'!E100="",'Services - WHC'!E100="[Enter service]"),"",'Services - WHC'!E100)</f>
        <v/>
      </c>
      <c r="F101" s="72" t="str">
        <f>IF(OR('Services - WHC'!F100="",'Services - WHC'!F100="[Select]"),"",'Services - WHC'!F100)</f>
        <v/>
      </c>
      <c r="G101" s="26"/>
      <c r="H101" s="73"/>
      <c r="I101" s="73"/>
      <c r="J101" s="73"/>
      <c r="K101" s="73"/>
      <c r="L101" s="73"/>
      <c r="M101" s="73"/>
      <c r="N101" s="73"/>
      <c r="O101" s="73"/>
      <c r="P101" s="73"/>
      <c r="Q101" s="73"/>
      <c r="R101" s="425">
        <f t="shared" si="1"/>
        <v>0</v>
      </c>
      <c r="S101" s="31"/>
    </row>
    <row r="102" spans="3:19" ht="12" customHeight="1" x14ac:dyDescent="0.2">
      <c r="C102" s="13"/>
      <c r="D102" s="19">
        <f>'Revenue - WHC'!D103</f>
        <v>92</v>
      </c>
      <c r="E102" s="71" t="str">
        <f>IF(OR('Services - WHC'!E101="",'Services - WHC'!E101="[Enter service]"),"",'Services - WHC'!E101)</f>
        <v/>
      </c>
      <c r="F102" s="72" t="str">
        <f>IF(OR('Services - WHC'!F101="",'Services - WHC'!F101="[Select]"),"",'Services - WHC'!F101)</f>
        <v/>
      </c>
      <c r="G102" s="26"/>
      <c r="H102" s="73"/>
      <c r="I102" s="73"/>
      <c r="J102" s="73"/>
      <c r="K102" s="73"/>
      <c r="L102" s="73"/>
      <c r="M102" s="73"/>
      <c r="N102" s="73"/>
      <c r="O102" s="73"/>
      <c r="P102" s="73"/>
      <c r="Q102" s="73"/>
      <c r="R102" s="425">
        <f t="shared" si="1"/>
        <v>0</v>
      </c>
      <c r="S102" s="31"/>
    </row>
    <row r="103" spans="3:19" ht="12" customHeight="1" x14ac:dyDescent="0.2">
      <c r="C103" s="13"/>
      <c r="D103" s="19">
        <f>'Revenue - WHC'!D104</f>
        <v>93</v>
      </c>
      <c r="E103" s="71" t="str">
        <f>IF(OR('Services - WHC'!E102="",'Services - WHC'!E102="[Enter service]"),"",'Services - WHC'!E102)</f>
        <v/>
      </c>
      <c r="F103" s="72" t="str">
        <f>IF(OR('Services - WHC'!F102="",'Services - WHC'!F102="[Select]"),"",'Services - WHC'!F102)</f>
        <v/>
      </c>
      <c r="G103" s="26"/>
      <c r="H103" s="73"/>
      <c r="I103" s="73"/>
      <c r="J103" s="73"/>
      <c r="K103" s="73"/>
      <c r="L103" s="73"/>
      <c r="M103" s="73"/>
      <c r="N103" s="73"/>
      <c r="O103" s="73"/>
      <c r="P103" s="73"/>
      <c r="Q103" s="73"/>
      <c r="R103" s="425">
        <f t="shared" si="1"/>
        <v>0</v>
      </c>
      <c r="S103" s="31"/>
    </row>
    <row r="104" spans="3:19" ht="12" customHeight="1" x14ac:dyDescent="0.2">
      <c r="C104" s="13"/>
      <c r="D104" s="19">
        <f>'Revenue - WHC'!D105</f>
        <v>94</v>
      </c>
      <c r="E104" s="71" t="str">
        <f>IF(OR('Services - WHC'!E103="",'Services - WHC'!E103="[Enter service]"),"",'Services - WHC'!E103)</f>
        <v/>
      </c>
      <c r="F104" s="72" t="str">
        <f>IF(OR('Services - WHC'!F103="",'Services - WHC'!F103="[Select]"),"",'Services - WHC'!F103)</f>
        <v/>
      </c>
      <c r="G104" s="26"/>
      <c r="H104" s="73"/>
      <c r="I104" s="73"/>
      <c r="J104" s="73"/>
      <c r="K104" s="73"/>
      <c r="L104" s="73"/>
      <c r="M104" s="73"/>
      <c r="N104" s="73"/>
      <c r="O104" s="73"/>
      <c r="P104" s="73"/>
      <c r="Q104" s="73"/>
      <c r="R104" s="425">
        <f t="shared" si="1"/>
        <v>0</v>
      </c>
      <c r="S104" s="31"/>
    </row>
    <row r="105" spans="3:19" ht="12" customHeight="1" x14ac:dyDescent="0.2">
      <c r="C105" s="13"/>
      <c r="D105" s="19">
        <f>'Revenue - WHC'!D106</f>
        <v>95</v>
      </c>
      <c r="E105" s="71" t="str">
        <f>IF(OR('Services - WHC'!E104="",'Services - WHC'!E104="[Enter service]"),"",'Services - WHC'!E104)</f>
        <v/>
      </c>
      <c r="F105" s="72" t="str">
        <f>IF(OR('Services - WHC'!F104="",'Services - WHC'!F104="[Select]"),"",'Services - WHC'!F104)</f>
        <v/>
      </c>
      <c r="G105" s="26"/>
      <c r="H105" s="73"/>
      <c r="I105" s="73"/>
      <c r="J105" s="73"/>
      <c r="K105" s="73"/>
      <c r="L105" s="73"/>
      <c r="M105" s="73"/>
      <c r="N105" s="73"/>
      <c r="O105" s="73"/>
      <c r="P105" s="73"/>
      <c r="Q105" s="73"/>
      <c r="R105" s="425">
        <f t="shared" si="1"/>
        <v>0</v>
      </c>
      <c r="S105" s="31"/>
    </row>
    <row r="106" spans="3:19" ht="12" customHeight="1" x14ac:dyDescent="0.2">
      <c r="C106" s="13"/>
      <c r="D106" s="19">
        <f>'Revenue - WHC'!D107</f>
        <v>96</v>
      </c>
      <c r="E106" s="71" t="str">
        <f>IF(OR('Services - WHC'!E105="",'Services - WHC'!E105="[Enter service]"),"",'Services - WHC'!E105)</f>
        <v/>
      </c>
      <c r="F106" s="72" t="str">
        <f>IF(OR('Services - WHC'!F105="",'Services - WHC'!F105="[Select]"),"",'Services - WHC'!F105)</f>
        <v/>
      </c>
      <c r="G106" s="26"/>
      <c r="H106" s="73"/>
      <c r="I106" s="73"/>
      <c r="J106" s="73"/>
      <c r="K106" s="73"/>
      <c r="L106" s="73"/>
      <c r="M106" s="73"/>
      <c r="N106" s="73"/>
      <c r="O106" s="73"/>
      <c r="P106" s="73"/>
      <c r="Q106" s="73"/>
      <c r="R106" s="425">
        <f t="shared" si="1"/>
        <v>0</v>
      </c>
      <c r="S106" s="31"/>
    </row>
    <row r="107" spans="3:19" ht="12" customHeight="1" x14ac:dyDescent="0.2">
      <c r="C107" s="13"/>
      <c r="D107" s="19">
        <f>'Revenue - WHC'!D108</f>
        <v>97</v>
      </c>
      <c r="E107" s="71" t="str">
        <f>IF(OR('Services - WHC'!E106="",'Services - WHC'!E106="[Enter service]"),"",'Services - WHC'!E106)</f>
        <v/>
      </c>
      <c r="F107" s="72" t="str">
        <f>IF(OR('Services - WHC'!F106="",'Services - WHC'!F106="[Select]"),"",'Services - WHC'!F106)</f>
        <v/>
      </c>
      <c r="G107" s="26"/>
      <c r="H107" s="73"/>
      <c r="I107" s="73"/>
      <c r="J107" s="73"/>
      <c r="K107" s="73"/>
      <c r="L107" s="73"/>
      <c r="M107" s="73"/>
      <c r="N107" s="73"/>
      <c r="O107" s="73"/>
      <c r="P107" s="73"/>
      <c r="Q107" s="73"/>
      <c r="R107" s="425">
        <f t="shared" si="1"/>
        <v>0</v>
      </c>
      <c r="S107" s="31"/>
    </row>
    <row r="108" spans="3:19" ht="12" customHeight="1" x14ac:dyDescent="0.2">
      <c r="C108" s="13"/>
      <c r="D108" s="19">
        <f>'Revenue - WHC'!D109</f>
        <v>98</v>
      </c>
      <c r="E108" s="71" t="str">
        <f>IF(OR('Services - WHC'!E107="",'Services - WHC'!E107="[Enter service]"),"",'Services - WHC'!E107)</f>
        <v/>
      </c>
      <c r="F108" s="72" t="str">
        <f>IF(OR('Services - WHC'!F107="",'Services - WHC'!F107="[Select]"),"",'Services - WHC'!F107)</f>
        <v/>
      </c>
      <c r="G108" s="26"/>
      <c r="H108" s="73"/>
      <c r="I108" s="73"/>
      <c r="J108" s="73"/>
      <c r="K108" s="73"/>
      <c r="L108" s="73"/>
      <c r="M108" s="73"/>
      <c r="N108" s="73"/>
      <c r="O108" s="73"/>
      <c r="P108" s="73"/>
      <c r="Q108" s="73"/>
      <c r="R108" s="425">
        <f t="shared" si="1"/>
        <v>0</v>
      </c>
      <c r="S108" s="31"/>
    </row>
    <row r="109" spans="3:19" ht="12" customHeight="1" x14ac:dyDescent="0.2">
      <c r="C109" s="13"/>
      <c r="D109" s="19">
        <f>'Revenue - WHC'!D110</f>
        <v>99</v>
      </c>
      <c r="E109" s="71" t="str">
        <f>IF(OR('Services - WHC'!E108="",'Services - WHC'!E108="[Enter service]"),"",'Services - WHC'!E108)</f>
        <v/>
      </c>
      <c r="F109" s="72" t="str">
        <f>IF(OR('Services - WHC'!F108="",'Services - WHC'!F108="[Select]"),"",'Services - WHC'!F108)</f>
        <v/>
      </c>
      <c r="G109" s="26"/>
      <c r="H109" s="73"/>
      <c r="I109" s="73"/>
      <c r="J109" s="73"/>
      <c r="K109" s="73"/>
      <c r="L109" s="73"/>
      <c r="M109" s="73"/>
      <c r="N109" s="73"/>
      <c r="O109" s="73"/>
      <c r="P109" s="73"/>
      <c r="Q109" s="73"/>
      <c r="R109" s="425">
        <f t="shared" si="1"/>
        <v>0</v>
      </c>
      <c r="S109" s="31"/>
    </row>
    <row r="110" spans="3:19" ht="12" customHeight="1" x14ac:dyDescent="0.2">
      <c r="C110" s="13"/>
      <c r="D110" s="19">
        <f>'Revenue - WHC'!D111</f>
        <v>100</v>
      </c>
      <c r="E110" s="71" t="str">
        <f>IF(OR('Services - WHC'!E109="",'Services - WHC'!E109="[Enter service]"),"",'Services - WHC'!E109)</f>
        <v/>
      </c>
      <c r="F110" s="72" t="str">
        <f>IF(OR('Services - WHC'!F109="",'Services - WHC'!F109="[Select]"),"",'Services - WHC'!F109)</f>
        <v/>
      </c>
      <c r="G110" s="26"/>
      <c r="H110" s="73"/>
      <c r="I110" s="73"/>
      <c r="J110" s="73"/>
      <c r="K110" s="73"/>
      <c r="L110" s="73"/>
      <c r="M110" s="73"/>
      <c r="N110" s="73"/>
      <c r="O110" s="73"/>
      <c r="P110" s="73"/>
      <c r="Q110" s="73"/>
      <c r="R110" s="425">
        <f t="shared" si="1"/>
        <v>0</v>
      </c>
      <c r="S110" s="31"/>
    </row>
    <row r="111" spans="3:19" ht="12" customHeight="1" x14ac:dyDescent="0.2">
      <c r="C111" s="13"/>
      <c r="D111" s="19">
        <f>'Revenue - WHC'!D112</f>
        <v>101</v>
      </c>
      <c r="E111" s="71" t="str">
        <f>IF(OR('Services - WHC'!E110="",'Services - WHC'!E110="[Enter service]"),"",'Services - WHC'!E110)</f>
        <v/>
      </c>
      <c r="F111" s="72" t="str">
        <f>IF(OR('Services - WHC'!F110="",'Services - WHC'!F110="[Select]"),"",'Services - WHC'!F110)</f>
        <v/>
      </c>
      <c r="G111" s="26"/>
      <c r="H111" s="265"/>
      <c r="I111" s="265"/>
      <c r="J111" s="265"/>
      <c r="K111" s="265"/>
      <c r="L111" s="265"/>
      <c r="M111" s="265"/>
      <c r="N111" s="265"/>
      <c r="O111" s="265"/>
      <c r="P111" s="265"/>
      <c r="Q111" s="265"/>
      <c r="R111" s="425">
        <f t="shared" si="1"/>
        <v>0</v>
      </c>
      <c r="S111" s="31"/>
    </row>
    <row r="112" spans="3:19" ht="12" customHeight="1" x14ac:dyDescent="0.2">
      <c r="C112" s="13"/>
      <c r="D112" s="19">
        <f>'Revenue - WHC'!D113</f>
        <v>102</v>
      </c>
      <c r="E112" s="71" t="str">
        <f>IF(OR('Services - WHC'!E111="",'Services - WHC'!E111="[Enter service]"),"",'Services - WHC'!E111)</f>
        <v/>
      </c>
      <c r="F112" s="72" t="str">
        <f>IF(OR('Services - WHC'!F111="",'Services - WHC'!F111="[Select]"),"",'Services - WHC'!F111)</f>
        <v/>
      </c>
      <c r="G112" s="26"/>
      <c r="H112" s="265"/>
      <c r="I112" s="265"/>
      <c r="J112" s="265"/>
      <c r="K112" s="265"/>
      <c r="L112" s="265"/>
      <c r="M112" s="265"/>
      <c r="N112" s="265"/>
      <c r="O112" s="265"/>
      <c r="P112" s="265"/>
      <c r="Q112" s="265"/>
      <c r="R112" s="425">
        <f t="shared" si="1"/>
        <v>0</v>
      </c>
      <c r="S112" s="31"/>
    </row>
    <row r="113" spans="3:19" ht="12" customHeight="1" x14ac:dyDescent="0.2">
      <c r="C113" s="13"/>
      <c r="D113" s="19">
        <f>'Revenue - WHC'!D114</f>
        <v>103</v>
      </c>
      <c r="E113" s="71" t="str">
        <f>IF(OR('Services - WHC'!E112="",'Services - WHC'!E112="[Enter service]"),"",'Services - WHC'!E112)</f>
        <v/>
      </c>
      <c r="F113" s="72" t="str">
        <f>IF(OR('Services - WHC'!F112="",'Services - WHC'!F112="[Select]"),"",'Services - WHC'!F112)</f>
        <v/>
      </c>
      <c r="G113" s="26"/>
      <c r="H113" s="265"/>
      <c r="I113" s="265"/>
      <c r="J113" s="265"/>
      <c r="K113" s="265"/>
      <c r="L113" s="265"/>
      <c r="M113" s="265"/>
      <c r="N113" s="265"/>
      <c r="O113" s="265"/>
      <c r="P113" s="265"/>
      <c r="Q113" s="265"/>
      <c r="R113" s="425">
        <f t="shared" si="1"/>
        <v>0</v>
      </c>
      <c r="S113" s="31"/>
    </row>
    <row r="114" spans="3:19" ht="12" customHeight="1" x14ac:dyDescent="0.2">
      <c r="C114" s="13"/>
      <c r="D114" s="19">
        <f>'Revenue - WHC'!D115</f>
        <v>104</v>
      </c>
      <c r="E114" s="71" t="str">
        <f>IF(OR('Services - WHC'!E113="",'Services - WHC'!E113="[Enter service]"),"",'Services - WHC'!E113)</f>
        <v/>
      </c>
      <c r="F114" s="72" t="str">
        <f>IF(OR('Services - WHC'!F113="",'Services - WHC'!F113="[Select]"),"",'Services - WHC'!F113)</f>
        <v/>
      </c>
      <c r="G114" s="26"/>
      <c r="H114" s="265"/>
      <c r="I114" s="265"/>
      <c r="J114" s="265"/>
      <c r="K114" s="265"/>
      <c r="L114" s="265"/>
      <c r="M114" s="265"/>
      <c r="N114" s="265"/>
      <c r="O114" s="265"/>
      <c r="P114" s="265"/>
      <c r="Q114" s="265"/>
      <c r="R114" s="425">
        <f t="shared" si="1"/>
        <v>0</v>
      </c>
      <c r="S114" s="31"/>
    </row>
    <row r="115" spans="3:19" ht="12" customHeight="1" x14ac:dyDescent="0.2">
      <c r="C115" s="13"/>
      <c r="D115" s="19">
        <f>'Revenue - WHC'!D116</f>
        <v>105</v>
      </c>
      <c r="E115" s="71" t="str">
        <f>IF(OR('Services - WHC'!E114="",'Services - WHC'!E114="[Enter service]"),"",'Services - WHC'!E114)</f>
        <v/>
      </c>
      <c r="F115" s="72" t="str">
        <f>IF(OR('Services - WHC'!F114="",'Services - WHC'!F114="[Select]"),"",'Services - WHC'!F114)</f>
        <v/>
      </c>
      <c r="G115" s="26"/>
      <c r="H115" s="265"/>
      <c r="I115" s="265"/>
      <c r="J115" s="265"/>
      <c r="K115" s="265"/>
      <c r="L115" s="265"/>
      <c r="M115" s="265"/>
      <c r="N115" s="265"/>
      <c r="O115" s="265"/>
      <c r="P115" s="265"/>
      <c r="Q115" s="265"/>
      <c r="R115" s="425">
        <f t="shared" si="1"/>
        <v>0</v>
      </c>
      <c r="S115" s="31"/>
    </row>
    <row r="116" spans="3:19" ht="12" customHeight="1" x14ac:dyDescent="0.2">
      <c r="C116" s="13"/>
      <c r="D116" s="19">
        <f>'Revenue - WHC'!D117</f>
        <v>106</v>
      </c>
      <c r="E116" s="71" t="str">
        <f>IF(OR('Services - WHC'!E115="",'Services - WHC'!E115="[Enter service]"),"",'Services - WHC'!E115)</f>
        <v/>
      </c>
      <c r="F116" s="72" t="str">
        <f>IF(OR('Services - WHC'!F115="",'Services - WHC'!F115="[Select]"),"",'Services - WHC'!F115)</f>
        <v/>
      </c>
      <c r="G116" s="26"/>
      <c r="H116" s="265"/>
      <c r="I116" s="265"/>
      <c r="J116" s="265"/>
      <c r="K116" s="265"/>
      <c r="L116" s="265"/>
      <c r="M116" s="265"/>
      <c r="N116" s="265"/>
      <c r="O116" s="265"/>
      <c r="P116" s="265"/>
      <c r="Q116" s="265"/>
      <c r="R116" s="425">
        <f t="shared" si="1"/>
        <v>0</v>
      </c>
      <c r="S116" s="31"/>
    </row>
    <row r="117" spans="3:19" ht="12" customHeight="1" x14ac:dyDescent="0.2">
      <c r="C117" s="13"/>
      <c r="D117" s="19">
        <f>'Revenue - WHC'!D118</f>
        <v>107</v>
      </c>
      <c r="E117" s="71" t="str">
        <f>IF(OR('Services - WHC'!E116="",'Services - WHC'!E116="[Enter service]"),"",'Services - WHC'!E116)</f>
        <v/>
      </c>
      <c r="F117" s="72" t="str">
        <f>IF(OR('Services - WHC'!F116="",'Services - WHC'!F116="[Select]"),"",'Services - WHC'!F116)</f>
        <v/>
      </c>
      <c r="G117" s="26"/>
      <c r="H117" s="265"/>
      <c r="I117" s="265"/>
      <c r="J117" s="265"/>
      <c r="K117" s="265"/>
      <c r="L117" s="265"/>
      <c r="M117" s="265"/>
      <c r="N117" s="265"/>
      <c r="O117" s="265"/>
      <c r="P117" s="265"/>
      <c r="Q117" s="265"/>
      <c r="R117" s="425">
        <f t="shared" si="1"/>
        <v>0</v>
      </c>
      <c r="S117" s="31"/>
    </row>
    <row r="118" spans="3:19" ht="12" customHeight="1" x14ac:dyDescent="0.2">
      <c r="C118" s="13"/>
      <c r="D118" s="19">
        <f>'Revenue - WHC'!D119</f>
        <v>108</v>
      </c>
      <c r="E118" s="71" t="str">
        <f>IF(OR('Services - WHC'!E117="",'Services - WHC'!E117="[Enter service]"),"",'Services - WHC'!E117)</f>
        <v/>
      </c>
      <c r="F118" s="72" t="str">
        <f>IF(OR('Services - WHC'!F117="",'Services - WHC'!F117="[Select]"),"",'Services - WHC'!F117)</f>
        <v/>
      </c>
      <c r="G118" s="26"/>
      <c r="H118" s="265"/>
      <c r="I118" s="265"/>
      <c r="J118" s="265"/>
      <c r="K118" s="265"/>
      <c r="L118" s="265"/>
      <c r="M118" s="265"/>
      <c r="N118" s="265"/>
      <c r="O118" s="265"/>
      <c r="P118" s="265"/>
      <c r="Q118" s="265"/>
      <c r="R118" s="425">
        <f t="shared" si="1"/>
        <v>0</v>
      </c>
      <c r="S118" s="31"/>
    </row>
    <row r="119" spans="3:19" ht="12" customHeight="1" x14ac:dyDescent="0.2">
      <c r="C119" s="13"/>
      <c r="D119" s="19">
        <f>'Revenue - WHC'!D120</f>
        <v>109</v>
      </c>
      <c r="E119" s="71" t="str">
        <f>IF(OR('Services - WHC'!E118="",'Services - WHC'!E118="[Enter service]"),"",'Services - WHC'!E118)</f>
        <v/>
      </c>
      <c r="F119" s="72" t="str">
        <f>IF(OR('Services - WHC'!F118="",'Services - WHC'!F118="[Select]"),"",'Services - WHC'!F118)</f>
        <v/>
      </c>
      <c r="G119" s="26"/>
      <c r="H119" s="265"/>
      <c r="I119" s="265"/>
      <c r="J119" s="265"/>
      <c r="K119" s="265"/>
      <c r="L119" s="265"/>
      <c r="M119" s="265"/>
      <c r="N119" s="265"/>
      <c r="O119" s="265"/>
      <c r="P119" s="265"/>
      <c r="Q119" s="265"/>
      <c r="R119" s="425">
        <f t="shared" si="1"/>
        <v>0</v>
      </c>
      <c r="S119" s="31"/>
    </row>
    <row r="120" spans="3:19" ht="12" customHeight="1" x14ac:dyDescent="0.2">
      <c r="C120" s="13"/>
      <c r="D120" s="19">
        <f>'Revenue - WHC'!D121</f>
        <v>110</v>
      </c>
      <c r="E120" s="71" t="str">
        <f>IF(OR('Services - WHC'!E119="",'Services - WHC'!E119="[Enter service]"),"",'Services - WHC'!E119)</f>
        <v/>
      </c>
      <c r="F120" s="72" t="str">
        <f>IF(OR('Services - WHC'!F119="",'Services - WHC'!F119="[Select]"),"",'Services - WHC'!F119)</f>
        <v/>
      </c>
      <c r="G120" s="26"/>
      <c r="H120" s="265"/>
      <c r="I120" s="265"/>
      <c r="J120" s="265"/>
      <c r="K120" s="265"/>
      <c r="L120" s="265"/>
      <c r="M120" s="265"/>
      <c r="N120" s="265"/>
      <c r="O120" s="265"/>
      <c r="P120" s="265"/>
      <c r="Q120" s="265"/>
      <c r="R120" s="425">
        <f t="shared" si="1"/>
        <v>0</v>
      </c>
      <c r="S120" s="31"/>
    </row>
    <row r="121" spans="3:19" ht="12" customHeight="1" x14ac:dyDescent="0.2">
      <c r="C121" s="13"/>
      <c r="D121" s="19">
        <f>'Revenue - WHC'!D122</f>
        <v>111</v>
      </c>
      <c r="E121" s="71" t="str">
        <f>IF(OR('Services - WHC'!E120="",'Services - WHC'!E120="[Enter service]"),"",'Services - WHC'!E120)</f>
        <v/>
      </c>
      <c r="F121" s="72" t="str">
        <f>IF(OR('Services - WHC'!F120="",'Services - WHC'!F120="[Select]"),"",'Services - WHC'!F120)</f>
        <v/>
      </c>
      <c r="G121" s="26"/>
      <c r="H121" s="265"/>
      <c r="I121" s="265"/>
      <c r="J121" s="265"/>
      <c r="K121" s="265"/>
      <c r="L121" s="265"/>
      <c r="M121" s="265"/>
      <c r="N121" s="265"/>
      <c r="O121" s="265"/>
      <c r="P121" s="265"/>
      <c r="Q121" s="265"/>
      <c r="R121" s="425">
        <f t="shared" si="1"/>
        <v>0</v>
      </c>
      <c r="S121" s="31"/>
    </row>
    <row r="122" spans="3:19" ht="12" customHeight="1" x14ac:dyDescent="0.2">
      <c r="C122" s="13"/>
      <c r="D122" s="19">
        <f>'Revenue - WHC'!D123</f>
        <v>112</v>
      </c>
      <c r="E122" s="71" t="str">
        <f>IF(OR('Services - WHC'!E121="",'Services - WHC'!E121="[Enter service]"),"",'Services - WHC'!E121)</f>
        <v/>
      </c>
      <c r="F122" s="72" t="str">
        <f>IF(OR('Services - WHC'!F121="",'Services - WHC'!F121="[Select]"),"",'Services - WHC'!F121)</f>
        <v/>
      </c>
      <c r="G122" s="26"/>
      <c r="H122" s="265"/>
      <c r="I122" s="265"/>
      <c r="J122" s="265"/>
      <c r="K122" s="265"/>
      <c r="L122" s="265"/>
      <c r="M122" s="265"/>
      <c r="N122" s="265"/>
      <c r="O122" s="265"/>
      <c r="P122" s="265"/>
      <c r="Q122" s="265"/>
      <c r="R122" s="425">
        <f t="shared" si="1"/>
        <v>0</v>
      </c>
      <c r="S122" s="31"/>
    </row>
    <row r="123" spans="3:19" ht="12" customHeight="1" x14ac:dyDescent="0.2">
      <c r="C123" s="13"/>
      <c r="D123" s="19">
        <f>'Revenue - WHC'!D124</f>
        <v>113</v>
      </c>
      <c r="E123" s="71" t="str">
        <f>IF(OR('Services - WHC'!E122="",'Services - WHC'!E122="[Enter service]"),"",'Services - WHC'!E122)</f>
        <v/>
      </c>
      <c r="F123" s="72" t="str">
        <f>IF(OR('Services - WHC'!F122="",'Services - WHC'!F122="[Select]"),"",'Services - WHC'!F122)</f>
        <v/>
      </c>
      <c r="G123" s="26"/>
      <c r="H123" s="265"/>
      <c r="I123" s="265"/>
      <c r="J123" s="265"/>
      <c r="K123" s="265"/>
      <c r="L123" s="265"/>
      <c r="M123" s="265"/>
      <c r="N123" s="265"/>
      <c r="O123" s="265"/>
      <c r="P123" s="265"/>
      <c r="Q123" s="265"/>
      <c r="R123" s="425">
        <f t="shared" si="1"/>
        <v>0</v>
      </c>
      <c r="S123" s="31"/>
    </row>
    <row r="124" spans="3:19" ht="12" customHeight="1" x14ac:dyDescent="0.2">
      <c r="C124" s="13"/>
      <c r="D124" s="19">
        <f>'Revenue - WHC'!D125</f>
        <v>114</v>
      </c>
      <c r="E124" s="71" t="str">
        <f>IF(OR('Services - WHC'!E123="",'Services - WHC'!E123="[Enter service]"),"",'Services - WHC'!E123)</f>
        <v/>
      </c>
      <c r="F124" s="72" t="str">
        <f>IF(OR('Services - WHC'!F123="",'Services - WHC'!F123="[Select]"),"",'Services - WHC'!F123)</f>
        <v/>
      </c>
      <c r="G124" s="26"/>
      <c r="H124" s="265"/>
      <c r="I124" s="265"/>
      <c r="J124" s="265"/>
      <c r="K124" s="265"/>
      <c r="L124" s="265"/>
      <c r="M124" s="265"/>
      <c r="N124" s="265"/>
      <c r="O124" s="265"/>
      <c r="P124" s="265"/>
      <c r="Q124" s="265"/>
      <c r="R124" s="425">
        <f t="shared" si="1"/>
        <v>0</v>
      </c>
      <c r="S124" s="31"/>
    </row>
    <row r="125" spans="3:19" ht="12" customHeight="1" x14ac:dyDescent="0.2">
      <c r="C125" s="13"/>
      <c r="D125" s="19">
        <f>'Revenue - WHC'!D126</f>
        <v>115</v>
      </c>
      <c r="E125" s="71" t="str">
        <f>IF(OR('Services - WHC'!E124="",'Services - WHC'!E124="[Enter service]"),"",'Services - WHC'!E124)</f>
        <v/>
      </c>
      <c r="F125" s="72" t="str">
        <f>IF(OR('Services - WHC'!F124="",'Services - WHC'!F124="[Select]"),"",'Services - WHC'!F124)</f>
        <v/>
      </c>
      <c r="G125" s="26"/>
      <c r="H125" s="265"/>
      <c r="I125" s="265"/>
      <c r="J125" s="265"/>
      <c r="K125" s="265"/>
      <c r="L125" s="265"/>
      <c r="M125" s="265"/>
      <c r="N125" s="265"/>
      <c r="O125" s="265"/>
      <c r="P125" s="265"/>
      <c r="Q125" s="265"/>
      <c r="R125" s="425">
        <f t="shared" si="1"/>
        <v>0</v>
      </c>
      <c r="S125" s="31"/>
    </row>
    <row r="126" spans="3:19" ht="12" customHeight="1" x14ac:dyDescent="0.2">
      <c r="C126" s="13"/>
      <c r="D126" s="19">
        <f>'Revenue - WHC'!D127</f>
        <v>116</v>
      </c>
      <c r="E126" s="71" t="str">
        <f>IF(OR('Services - WHC'!E125="",'Services - WHC'!E125="[Enter service]"),"",'Services - WHC'!E125)</f>
        <v/>
      </c>
      <c r="F126" s="72" t="str">
        <f>IF(OR('Services - WHC'!F125="",'Services - WHC'!F125="[Select]"),"",'Services - WHC'!F125)</f>
        <v/>
      </c>
      <c r="G126" s="26"/>
      <c r="H126" s="265"/>
      <c r="I126" s="265"/>
      <c r="J126" s="265"/>
      <c r="K126" s="265"/>
      <c r="L126" s="265"/>
      <c r="M126" s="265"/>
      <c r="N126" s="265"/>
      <c r="O126" s="265"/>
      <c r="P126" s="265"/>
      <c r="Q126" s="265"/>
      <c r="R126" s="425">
        <f t="shared" si="1"/>
        <v>0</v>
      </c>
      <c r="S126" s="31"/>
    </row>
    <row r="127" spans="3:19" ht="12" customHeight="1" x14ac:dyDescent="0.2">
      <c r="C127" s="13"/>
      <c r="D127" s="19">
        <f>'Revenue - WHC'!D128</f>
        <v>117</v>
      </c>
      <c r="E127" s="71" t="str">
        <f>IF(OR('Services - WHC'!E126="",'Services - WHC'!E126="[Enter service]"),"",'Services - WHC'!E126)</f>
        <v/>
      </c>
      <c r="F127" s="72" t="str">
        <f>IF(OR('Services - WHC'!F126="",'Services - WHC'!F126="[Select]"),"",'Services - WHC'!F126)</f>
        <v/>
      </c>
      <c r="G127" s="26"/>
      <c r="H127" s="265"/>
      <c r="I127" s="265"/>
      <c r="J127" s="265"/>
      <c r="K127" s="265"/>
      <c r="L127" s="265"/>
      <c r="M127" s="265"/>
      <c r="N127" s="265"/>
      <c r="O127" s="265"/>
      <c r="P127" s="265"/>
      <c r="Q127" s="265"/>
      <c r="R127" s="425">
        <f t="shared" si="1"/>
        <v>0</v>
      </c>
      <c r="S127" s="31"/>
    </row>
    <row r="128" spans="3:19" ht="12" customHeight="1" x14ac:dyDescent="0.2">
      <c r="C128" s="13"/>
      <c r="D128" s="19">
        <f>'Revenue - WHC'!D129</f>
        <v>118</v>
      </c>
      <c r="E128" s="71" t="str">
        <f>IF(OR('Services - WHC'!E127="",'Services - WHC'!E127="[Enter service]"),"",'Services - WHC'!E127)</f>
        <v/>
      </c>
      <c r="F128" s="72" t="str">
        <f>IF(OR('Services - WHC'!F127="",'Services - WHC'!F127="[Select]"),"",'Services - WHC'!F127)</f>
        <v/>
      </c>
      <c r="G128" s="26"/>
      <c r="H128" s="265"/>
      <c r="I128" s="265"/>
      <c r="J128" s="265"/>
      <c r="K128" s="265"/>
      <c r="L128" s="265"/>
      <c r="M128" s="265"/>
      <c r="N128" s="265"/>
      <c r="O128" s="265"/>
      <c r="P128" s="265"/>
      <c r="Q128" s="265"/>
      <c r="R128" s="425">
        <f t="shared" si="1"/>
        <v>0</v>
      </c>
      <c r="S128" s="31"/>
    </row>
    <row r="129" spans="3:19" ht="12" customHeight="1" x14ac:dyDescent="0.2">
      <c r="C129" s="13"/>
      <c r="D129" s="19">
        <f>'Revenue - WHC'!D130</f>
        <v>119</v>
      </c>
      <c r="E129" s="71" t="str">
        <f>IF(OR('Services - WHC'!E128="",'Services - WHC'!E128="[Enter service]"),"",'Services - WHC'!E128)</f>
        <v/>
      </c>
      <c r="F129" s="72" t="str">
        <f>IF(OR('Services - WHC'!F128="",'Services - WHC'!F128="[Select]"),"",'Services - WHC'!F128)</f>
        <v/>
      </c>
      <c r="G129" s="26"/>
      <c r="H129" s="265"/>
      <c r="I129" s="265"/>
      <c r="J129" s="265"/>
      <c r="K129" s="265"/>
      <c r="L129" s="265"/>
      <c r="M129" s="265"/>
      <c r="N129" s="265"/>
      <c r="O129" s="265"/>
      <c r="P129" s="265"/>
      <c r="Q129" s="265"/>
      <c r="R129" s="425">
        <f t="shared" si="1"/>
        <v>0</v>
      </c>
      <c r="S129" s="31"/>
    </row>
    <row r="130" spans="3:19" ht="12" customHeight="1" x14ac:dyDescent="0.2">
      <c r="C130" s="13"/>
      <c r="D130" s="19">
        <f>'Revenue - WHC'!D131</f>
        <v>120</v>
      </c>
      <c r="E130" s="71" t="str">
        <f>IF(OR('Services - WHC'!E129="",'Services - WHC'!E129="[Enter service]"),"",'Services - WHC'!E129)</f>
        <v/>
      </c>
      <c r="F130" s="72" t="str">
        <f>IF(OR('Services - WHC'!F129="",'Services - WHC'!F129="[Select]"),"",'Services - WHC'!F129)</f>
        <v/>
      </c>
      <c r="G130" s="26"/>
      <c r="H130" s="265"/>
      <c r="I130" s="265"/>
      <c r="J130" s="265"/>
      <c r="K130" s="265"/>
      <c r="L130" s="265"/>
      <c r="M130" s="265"/>
      <c r="N130" s="265"/>
      <c r="O130" s="265"/>
      <c r="P130" s="265"/>
      <c r="Q130" s="265"/>
      <c r="R130" s="425">
        <f t="shared" si="1"/>
        <v>0</v>
      </c>
      <c r="S130" s="31"/>
    </row>
    <row r="131" spans="3:19" ht="12" customHeight="1" x14ac:dyDescent="0.2">
      <c r="C131" s="13"/>
      <c r="D131" s="19">
        <f>'Revenue - WHC'!D132</f>
        <v>121</v>
      </c>
      <c r="E131" s="71" t="str">
        <f>IF(OR('Services - WHC'!E130="",'Services - WHC'!E130="[Enter service]"),"",'Services - WHC'!E130)</f>
        <v/>
      </c>
      <c r="F131" s="72" t="str">
        <f>IF(OR('Services - WHC'!F130="",'Services - WHC'!F130="[Select]"),"",'Services - WHC'!F130)</f>
        <v/>
      </c>
      <c r="G131" s="26"/>
      <c r="H131" s="265"/>
      <c r="I131" s="265"/>
      <c r="J131" s="265"/>
      <c r="K131" s="265"/>
      <c r="L131" s="265"/>
      <c r="M131" s="265"/>
      <c r="N131" s="265"/>
      <c r="O131" s="265"/>
      <c r="P131" s="265"/>
      <c r="Q131" s="265"/>
      <c r="R131" s="425">
        <f t="shared" si="1"/>
        <v>0</v>
      </c>
      <c r="S131" s="31"/>
    </row>
    <row r="132" spans="3:19" ht="12" customHeight="1" x14ac:dyDescent="0.2">
      <c r="C132" s="13"/>
      <c r="D132" s="19">
        <f>'Revenue - WHC'!D133</f>
        <v>122</v>
      </c>
      <c r="E132" s="71" t="str">
        <f>IF(OR('Services - WHC'!E131="",'Services - WHC'!E131="[Enter service]"),"",'Services - WHC'!E131)</f>
        <v/>
      </c>
      <c r="F132" s="72" t="str">
        <f>IF(OR('Services - WHC'!F131="",'Services - WHC'!F131="[Select]"),"",'Services - WHC'!F131)</f>
        <v/>
      </c>
      <c r="G132" s="26"/>
      <c r="H132" s="265"/>
      <c r="I132" s="265"/>
      <c r="J132" s="265"/>
      <c r="K132" s="265"/>
      <c r="L132" s="265"/>
      <c r="M132" s="265"/>
      <c r="N132" s="265"/>
      <c r="O132" s="265"/>
      <c r="P132" s="265"/>
      <c r="Q132" s="265"/>
      <c r="R132" s="425">
        <f t="shared" si="1"/>
        <v>0</v>
      </c>
      <c r="S132" s="31"/>
    </row>
    <row r="133" spans="3:19" ht="12" customHeight="1" x14ac:dyDescent="0.2">
      <c r="C133" s="13"/>
      <c r="D133" s="19">
        <f>'Revenue - WHC'!D134</f>
        <v>123</v>
      </c>
      <c r="E133" s="71" t="str">
        <f>IF(OR('Services - WHC'!E132="",'Services - WHC'!E132="[Enter service]"),"",'Services - WHC'!E132)</f>
        <v/>
      </c>
      <c r="F133" s="72" t="str">
        <f>IF(OR('Services - WHC'!F132="",'Services - WHC'!F132="[Select]"),"",'Services - WHC'!F132)</f>
        <v/>
      </c>
      <c r="G133" s="26"/>
      <c r="H133" s="265"/>
      <c r="I133" s="265"/>
      <c r="J133" s="265"/>
      <c r="K133" s="265"/>
      <c r="L133" s="265"/>
      <c r="M133" s="265"/>
      <c r="N133" s="265"/>
      <c r="O133" s="265"/>
      <c r="P133" s="265"/>
      <c r="Q133" s="265"/>
      <c r="R133" s="425">
        <f t="shared" si="1"/>
        <v>0</v>
      </c>
      <c r="S133" s="31"/>
    </row>
    <row r="134" spans="3:19" ht="12" customHeight="1" x14ac:dyDescent="0.2">
      <c r="C134" s="13"/>
      <c r="D134" s="19">
        <f>'Revenue - WHC'!D135</f>
        <v>124</v>
      </c>
      <c r="E134" s="71" t="str">
        <f>IF(OR('Services - WHC'!E133="",'Services - WHC'!E133="[Enter service]"),"",'Services - WHC'!E133)</f>
        <v/>
      </c>
      <c r="F134" s="72" t="str">
        <f>IF(OR('Services - WHC'!F133="",'Services - WHC'!F133="[Select]"),"",'Services - WHC'!F133)</f>
        <v/>
      </c>
      <c r="G134" s="26"/>
      <c r="H134" s="265"/>
      <c r="I134" s="265"/>
      <c r="J134" s="265"/>
      <c r="K134" s="265"/>
      <c r="L134" s="265"/>
      <c r="M134" s="265"/>
      <c r="N134" s="265"/>
      <c r="O134" s="265"/>
      <c r="P134" s="265"/>
      <c r="Q134" s="265"/>
      <c r="R134" s="425">
        <f t="shared" si="1"/>
        <v>0</v>
      </c>
      <c r="S134" s="31"/>
    </row>
    <row r="135" spans="3:19" ht="12" customHeight="1" x14ac:dyDescent="0.2">
      <c r="C135" s="13"/>
      <c r="D135" s="19">
        <f>'Revenue - WHC'!D136</f>
        <v>125</v>
      </c>
      <c r="E135" s="71" t="str">
        <f>IF(OR('Services - WHC'!E134="",'Services - WHC'!E134="[Enter service]"),"",'Services - WHC'!E134)</f>
        <v/>
      </c>
      <c r="F135" s="72" t="str">
        <f>IF(OR('Services - WHC'!F134="",'Services - WHC'!F134="[Select]"),"",'Services - WHC'!F134)</f>
        <v/>
      </c>
      <c r="G135" s="26"/>
      <c r="H135" s="265"/>
      <c r="I135" s="265"/>
      <c r="J135" s="265"/>
      <c r="K135" s="265"/>
      <c r="L135" s="265"/>
      <c r="M135" s="265"/>
      <c r="N135" s="265"/>
      <c r="O135" s="265"/>
      <c r="P135" s="265"/>
      <c r="Q135" s="265"/>
      <c r="R135" s="425">
        <f t="shared" si="1"/>
        <v>0</v>
      </c>
      <c r="S135" s="31"/>
    </row>
    <row r="136" spans="3:19" ht="12" customHeight="1" x14ac:dyDescent="0.2">
      <c r="C136" s="13"/>
      <c r="D136" s="19">
        <f>'Revenue - WHC'!D137</f>
        <v>126</v>
      </c>
      <c r="E136" s="71" t="str">
        <f>IF(OR('Services - WHC'!E135="",'Services - WHC'!E135="[Enter service]"),"",'Services - WHC'!E135)</f>
        <v/>
      </c>
      <c r="F136" s="72" t="str">
        <f>IF(OR('Services - WHC'!F135="",'Services - WHC'!F135="[Select]"),"",'Services - WHC'!F135)</f>
        <v/>
      </c>
      <c r="G136" s="26"/>
      <c r="H136" s="265"/>
      <c r="I136" s="265"/>
      <c r="J136" s="265"/>
      <c r="K136" s="265"/>
      <c r="L136" s="265"/>
      <c r="M136" s="265"/>
      <c r="N136" s="265"/>
      <c r="O136" s="265"/>
      <c r="P136" s="265"/>
      <c r="Q136" s="265"/>
      <c r="R136" s="425">
        <f t="shared" si="1"/>
        <v>0</v>
      </c>
      <c r="S136" s="31"/>
    </row>
    <row r="137" spans="3:19" ht="12" customHeight="1" x14ac:dyDescent="0.2">
      <c r="C137" s="13"/>
      <c r="D137" s="19">
        <f>'Revenue - WHC'!D138</f>
        <v>127</v>
      </c>
      <c r="E137" s="71" t="str">
        <f>IF(OR('Services - WHC'!E136="",'Services - WHC'!E136="[Enter service]"),"",'Services - WHC'!E136)</f>
        <v/>
      </c>
      <c r="F137" s="72" t="str">
        <f>IF(OR('Services - WHC'!F136="",'Services - WHC'!F136="[Select]"),"",'Services - WHC'!F136)</f>
        <v/>
      </c>
      <c r="G137" s="26"/>
      <c r="H137" s="265"/>
      <c r="I137" s="265"/>
      <c r="J137" s="265"/>
      <c r="K137" s="265"/>
      <c r="L137" s="265"/>
      <c r="M137" s="265"/>
      <c r="N137" s="265"/>
      <c r="O137" s="265"/>
      <c r="P137" s="265"/>
      <c r="Q137" s="265"/>
      <c r="R137" s="425">
        <f t="shared" si="1"/>
        <v>0</v>
      </c>
      <c r="S137" s="31"/>
    </row>
    <row r="138" spans="3:19" ht="12" customHeight="1" x14ac:dyDescent="0.2">
      <c r="C138" s="13"/>
      <c r="D138" s="19">
        <f>'Revenue - WHC'!D139</f>
        <v>128</v>
      </c>
      <c r="E138" s="71" t="str">
        <f>IF(OR('Services - WHC'!E137="",'Services - WHC'!E137="[Enter service]"),"",'Services - WHC'!E137)</f>
        <v/>
      </c>
      <c r="F138" s="72" t="str">
        <f>IF(OR('Services - WHC'!F137="",'Services - WHC'!F137="[Select]"),"",'Services - WHC'!F137)</f>
        <v/>
      </c>
      <c r="G138" s="26"/>
      <c r="H138" s="265"/>
      <c r="I138" s="265"/>
      <c r="J138" s="265"/>
      <c r="K138" s="265"/>
      <c r="L138" s="265"/>
      <c r="M138" s="265"/>
      <c r="N138" s="265"/>
      <c r="O138" s="265"/>
      <c r="P138" s="265"/>
      <c r="Q138" s="265"/>
      <c r="R138" s="425">
        <f t="shared" si="1"/>
        <v>0</v>
      </c>
      <c r="S138" s="31"/>
    </row>
    <row r="139" spans="3:19" ht="12" customHeight="1" x14ac:dyDescent="0.2">
      <c r="C139" s="13"/>
      <c r="D139" s="19">
        <f>'Revenue - WHC'!D140</f>
        <v>129</v>
      </c>
      <c r="E139" s="71" t="str">
        <f>IF(OR('Services - WHC'!E138="",'Services - WHC'!E138="[Enter service]"),"",'Services - WHC'!E138)</f>
        <v/>
      </c>
      <c r="F139" s="72" t="str">
        <f>IF(OR('Services - WHC'!F138="",'Services - WHC'!F138="[Select]"),"",'Services - WHC'!F138)</f>
        <v/>
      </c>
      <c r="G139" s="26"/>
      <c r="H139" s="265"/>
      <c r="I139" s="265"/>
      <c r="J139" s="265"/>
      <c r="K139" s="265"/>
      <c r="L139" s="265"/>
      <c r="M139" s="265"/>
      <c r="N139" s="265"/>
      <c r="O139" s="265"/>
      <c r="P139" s="265"/>
      <c r="Q139" s="265"/>
      <c r="R139" s="425">
        <f t="shared" si="1"/>
        <v>0</v>
      </c>
      <c r="S139" s="31"/>
    </row>
    <row r="140" spans="3:19" ht="12" customHeight="1" x14ac:dyDescent="0.2">
      <c r="C140" s="13"/>
      <c r="D140" s="19">
        <f>'Revenue - WHC'!D141</f>
        <v>130</v>
      </c>
      <c r="E140" s="71" t="str">
        <f>IF(OR('Services - WHC'!E139="",'Services - WHC'!E139="[Enter service]"),"",'Services - WHC'!E139)</f>
        <v/>
      </c>
      <c r="F140" s="72" t="str">
        <f>IF(OR('Services - WHC'!F139="",'Services - WHC'!F139="[Select]"),"",'Services - WHC'!F139)</f>
        <v/>
      </c>
      <c r="G140" s="26"/>
      <c r="H140" s="265"/>
      <c r="I140" s="265"/>
      <c r="J140" s="265"/>
      <c r="K140" s="265"/>
      <c r="L140" s="265"/>
      <c r="M140" s="265"/>
      <c r="N140" s="265"/>
      <c r="O140" s="265"/>
      <c r="P140" s="265"/>
      <c r="Q140" s="265"/>
      <c r="R140" s="425">
        <f t="shared" si="1"/>
        <v>0</v>
      </c>
      <c r="S140" s="31"/>
    </row>
    <row r="141" spans="3:19" ht="12" customHeight="1" x14ac:dyDescent="0.2">
      <c r="C141" s="13"/>
      <c r="D141" s="19">
        <f>'Revenue - WHC'!D142</f>
        <v>131</v>
      </c>
      <c r="E141" s="71" t="str">
        <f>IF(OR('Services - WHC'!E140="",'Services - WHC'!E140="[Enter service]"),"",'Services - WHC'!E140)</f>
        <v/>
      </c>
      <c r="F141" s="72" t="str">
        <f>IF(OR('Services - WHC'!F140="",'Services - WHC'!F140="[Select]"),"",'Services - WHC'!F140)</f>
        <v/>
      </c>
      <c r="G141" s="26"/>
      <c r="H141" s="265"/>
      <c r="I141" s="265"/>
      <c r="J141" s="265"/>
      <c r="K141" s="265"/>
      <c r="L141" s="265"/>
      <c r="M141" s="265"/>
      <c r="N141" s="265"/>
      <c r="O141" s="265"/>
      <c r="P141" s="265"/>
      <c r="Q141" s="265"/>
      <c r="R141" s="425">
        <f t="shared" si="1"/>
        <v>0</v>
      </c>
      <c r="S141" s="31"/>
    </row>
    <row r="142" spans="3:19" ht="12" customHeight="1" x14ac:dyDescent="0.2">
      <c r="C142" s="13"/>
      <c r="D142" s="19">
        <f>'Revenue - WHC'!D143</f>
        <v>132</v>
      </c>
      <c r="E142" s="71" t="str">
        <f>IF(OR('Services - WHC'!E141="",'Services - WHC'!E141="[Enter service]"),"",'Services - WHC'!E141)</f>
        <v/>
      </c>
      <c r="F142" s="72" t="str">
        <f>IF(OR('Services - WHC'!F141="",'Services - WHC'!F141="[Select]"),"",'Services - WHC'!F141)</f>
        <v/>
      </c>
      <c r="G142" s="26"/>
      <c r="H142" s="265"/>
      <c r="I142" s="265"/>
      <c r="J142" s="265"/>
      <c r="K142" s="265"/>
      <c r="L142" s="265"/>
      <c r="M142" s="265"/>
      <c r="N142" s="265"/>
      <c r="O142" s="265"/>
      <c r="P142" s="265"/>
      <c r="Q142" s="265"/>
      <c r="R142" s="425">
        <f t="shared" si="1"/>
        <v>0</v>
      </c>
      <c r="S142" s="31"/>
    </row>
    <row r="143" spans="3:19" ht="12" customHeight="1" x14ac:dyDescent="0.2">
      <c r="C143" s="13"/>
      <c r="D143" s="19">
        <f>'Revenue - WHC'!D144</f>
        <v>133</v>
      </c>
      <c r="E143" s="71" t="str">
        <f>IF(OR('Services - WHC'!E142="",'Services - WHC'!E142="[Enter service]"),"",'Services - WHC'!E142)</f>
        <v/>
      </c>
      <c r="F143" s="72" t="str">
        <f>IF(OR('Services - WHC'!F142="",'Services - WHC'!F142="[Select]"),"",'Services - WHC'!F142)</f>
        <v/>
      </c>
      <c r="G143" s="26"/>
      <c r="H143" s="265"/>
      <c r="I143" s="265"/>
      <c r="J143" s="265"/>
      <c r="K143" s="265"/>
      <c r="L143" s="265"/>
      <c r="M143" s="265"/>
      <c r="N143" s="265"/>
      <c r="O143" s="265"/>
      <c r="P143" s="265"/>
      <c r="Q143" s="265"/>
      <c r="R143" s="425">
        <f t="shared" si="1"/>
        <v>0</v>
      </c>
      <c r="S143" s="31"/>
    </row>
    <row r="144" spans="3:19" ht="12" customHeight="1" x14ac:dyDescent="0.2">
      <c r="C144" s="13"/>
      <c r="D144" s="19">
        <f>'Revenue - WHC'!D145</f>
        <v>134</v>
      </c>
      <c r="E144" s="71" t="str">
        <f>IF(OR('Services - WHC'!E143="",'Services - WHC'!E143="[Enter service]"),"",'Services - WHC'!E143)</f>
        <v/>
      </c>
      <c r="F144" s="72" t="str">
        <f>IF(OR('Services - WHC'!F143="",'Services - WHC'!F143="[Select]"),"",'Services - WHC'!F143)</f>
        <v/>
      </c>
      <c r="G144" s="26"/>
      <c r="H144" s="265"/>
      <c r="I144" s="265"/>
      <c r="J144" s="265"/>
      <c r="K144" s="265"/>
      <c r="L144" s="265"/>
      <c r="M144" s="265"/>
      <c r="N144" s="265"/>
      <c r="O144" s="265"/>
      <c r="P144" s="265"/>
      <c r="Q144" s="265"/>
      <c r="R144" s="425">
        <f t="shared" si="1"/>
        <v>0</v>
      </c>
      <c r="S144" s="31"/>
    </row>
    <row r="145" spans="3:19" ht="12" customHeight="1" x14ac:dyDescent="0.2">
      <c r="C145" s="13"/>
      <c r="D145" s="19">
        <f>'Revenue - WHC'!D146</f>
        <v>135</v>
      </c>
      <c r="E145" s="71" t="str">
        <f>IF(OR('Services - WHC'!E144="",'Services - WHC'!E144="[Enter service]"),"",'Services - WHC'!E144)</f>
        <v/>
      </c>
      <c r="F145" s="72" t="str">
        <f>IF(OR('Services - WHC'!F144="",'Services - WHC'!F144="[Select]"),"",'Services - WHC'!F144)</f>
        <v/>
      </c>
      <c r="G145" s="26"/>
      <c r="H145" s="265"/>
      <c r="I145" s="265"/>
      <c r="J145" s="265"/>
      <c r="K145" s="265"/>
      <c r="L145" s="265"/>
      <c r="M145" s="265"/>
      <c r="N145" s="265"/>
      <c r="O145" s="265"/>
      <c r="P145" s="265"/>
      <c r="Q145" s="265"/>
      <c r="R145" s="425">
        <f t="shared" si="1"/>
        <v>0</v>
      </c>
      <c r="S145" s="31"/>
    </row>
    <row r="146" spans="3:19" ht="12" customHeight="1" x14ac:dyDescent="0.2">
      <c r="C146" s="13"/>
      <c r="D146" s="19">
        <f>'Revenue - WHC'!D147</f>
        <v>136</v>
      </c>
      <c r="E146" s="71" t="str">
        <f>IF(OR('Services - WHC'!E145="",'Services - WHC'!E145="[Enter service]"),"",'Services - WHC'!E145)</f>
        <v/>
      </c>
      <c r="F146" s="72" t="str">
        <f>IF(OR('Services - WHC'!F145="",'Services - WHC'!F145="[Select]"),"",'Services - WHC'!F145)</f>
        <v/>
      </c>
      <c r="G146" s="26"/>
      <c r="H146" s="265"/>
      <c r="I146" s="265"/>
      <c r="J146" s="265"/>
      <c r="K146" s="265"/>
      <c r="L146" s="265"/>
      <c r="M146" s="265"/>
      <c r="N146" s="265"/>
      <c r="O146" s="265"/>
      <c r="P146" s="265"/>
      <c r="Q146" s="265"/>
      <c r="R146" s="425">
        <f t="shared" si="1"/>
        <v>0</v>
      </c>
      <c r="S146" s="31"/>
    </row>
    <row r="147" spans="3:19" ht="12" customHeight="1" x14ac:dyDescent="0.2">
      <c r="C147" s="13"/>
      <c r="D147" s="19">
        <f>'Revenue - WHC'!D148</f>
        <v>137</v>
      </c>
      <c r="E147" s="71" t="str">
        <f>IF(OR('Services - WHC'!E146="",'Services - WHC'!E146="[Enter service]"),"",'Services - WHC'!E146)</f>
        <v/>
      </c>
      <c r="F147" s="72" t="str">
        <f>IF(OR('Services - WHC'!F146="",'Services - WHC'!F146="[Select]"),"",'Services - WHC'!F146)</f>
        <v/>
      </c>
      <c r="G147" s="26"/>
      <c r="H147" s="265"/>
      <c r="I147" s="265"/>
      <c r="J147" s="265"/>
      <c r="K147" s="265"/>
      <c r="L147" s="265"/>
      <c r="M147" s="265"/>
      <c r="N147" s="265"/>
      <c r="O147" s="265"/>
      <c r="P147" s="265"/>
      <c r="Q147" s="265"/>
      <c r="R147" s="425">
        <f t="shared" si="1"/>
        <v>0</v>
      </c>
      <c r="S147" s="31"/>
    </row>
    <row r="148" spans="3:19" ht="12" customHeight="1" x14ac:dyDescent="0.2">
      <c r="C148" s="13"/>
      <c r="D148" s="19">
        <f>'Revenue - WHC'!D149</f>
        <v>138</v>
      </c>
      <c r="E148" s="71" t="str">
        <f>IF(OR('Services - WHC'!E147="",'Services - WHC'!E147="[Enter service]"),"",'Services - WHC'!E147)</f>
        <v/>
      </c>
      <c r="F148" s="72" t="str">
        <f>IF(OR('Services - WHC'!F147="",'Services - WHC'!F147="[Select]"),"",'Services - WHC'!F147)</f>
        <v/>
      </c>
      <c r="G148" s="26"/>
      <c r="H148" s="265"/>
      <c r="I148" s="265"/>
      <c r="J148" s="265"/>
      <c r="K148" s="265"/>
      <c r="L148" s="265"/>
      <c r="M148" s="265"/>
      <c r="N148" s="265"/>
      <c r="O148" s="265"/>
      <c r="P148" s="265"/>
      <c r="Q148" s="265"/>
      <c r="R148" s="425">
        <f t="shared" si="1"/>
        <v>0</v>
      </c>
      <c r="S148" s="31"/>
    </row>
    <row r="149" spans="3:19" ht="12" customHeight="1" x14ac:dyDescent="0.2">
      <c r="C149" s="13"/>
      <c r="D149" s="19">
        <f>'Revenue - WHC'!D150</f>
        <v>139</v>
      </c>
      <c r="E149" s="71" t="str">
        <f>IF(OR('Services - WHC'!E148="",'Services - WHC'!E148="[Enter service]"),"",'Services - WHC'!E148)</f>
        <v/>
      </c>
      <c r="F149" s="72" t="str">
        <f>IF(OR('Services - WHC'!F148="",'Services - WHC'!F148="[Select]"),"",'Services - WHC'!F148)</f>
        <v/>
      </c>
      <c r="G149" s="26"/>
      <c r="H149" s="265"/>
      <c r="I149" s="265"/>
      <c r="J149" s="265"/>
      <c r="K149" s="265"/>
      <c r="L149" s="265"/>
      <c r="M149" s="265"/>
      <c r="N149" s="265"/>
      <c r="O149" s="265"/>
      <c r="P149" s="265"/>
      <c r="Q149" s="265"/>
      <c r="R149" s="425">
        <f t="shared" si="1"/>
        <v>0</v>
      </c>
      <c r="S149" s="31"/>
    </row>
    <row r="150" spans="3:19" ht="12" customHeight="1" x14ac:dyDescent="0.2">
      <c r="C150" s="13"/>
      <c r="D150" s="19">
        <f>'Revenue - WHC'!D151</f>
        <v>140</v>
      </c>
      <c r="E150" s="71" t="str">
        <f>IF(OR('Services - WHC'!E149="",'Services - WHC'!E149="[Enter service]"),"",'Services - WHC'!E149)</f>
        <v/>
      </c>
      <c r="F150" s="72" t="str">
        <f>IF(OR('Services - WHC'!F149="",'Services - WHC'!F149="[Select]"),"",'Services - WHC'!F149)</f>
        <v/>
      </c>
      <c r="G150" s="26"/>
      <c r="H150" s="265"/>
      <c r="I150" s="265"/>
      <c r="J150" s="265"/>
      <c r="K150" s="265"/>
      <c r="L150" s="265"/>
      <c r="M150" s="265"/>
      <c r="N150" s="265"/>
      <c r="O150" s="265"/>
      <c r="P150" s="265"/>
      <c r="Q150" s="265"/>
      <c r="R150" s="425">
        <f t="shared" si="1"/>
        <v>0</v>
      </c>
      <c r="S150" s="31"/>
    </row>
    <row r="151" spans="3:19" ht="12" customHeight="1" collapsed="1" thickBot="1" x14ac:dyDescent="0.25">
      <c r="C151" s="13"/>
      <c r="D151" s="19"/>
      <c r="E151" s="75" t="s">
        <v>88</v>
      </c>
      <c r="F151" s="76"/>
      <c r="G151" s="26"/>
      <c r="H151" s="77"/>
      <c r="I151" s="77"/>
      <c r="J151" s="77"/>
      <c r="K151" s="77"/>
      <c r="L151" s="77"/>
      <c r="M151" s="77"/>
      <c r="N151" s="77"/>
      <c r="O151" s="77"/>
      <c r="P151" s="77"/>
      <c r="Q151" s="77"/>
      <c r="R151" s="429">
        <f t="shared" si="1"/>
        <v>0</v>
      </c>
      <c r="S151" s="31"/>
    </row>
    <row r="152" spans="3:19" ht="12" customHeight="1" thickTop="1" x14ac:dyDescent="0.2">
      <c r="C152" s="13"/>
      <c r="D152" s="14"/>
      <c r="E152" s="50" t="s">
        <v>87</v>
      </c>
      <c r="F152" s="51"/>
      <c r="G152" s="26"/>
      <c r="H152" s="426">
        <f>+SUM(H11:H151)</f>
        <v>4057300</v>
      </c>
      <c r="I152" s="426">
        <f>+SUM(I11:I151)</f>
        <v>5447620.3427499998</v>
      </c>
      <c r="J152" s="426">
        <f>+SUM(J11:J151)</f>
        <v>3000</v>
      </c>
      <c r="K152" s="426">
        <f>+SUM(K11:K151)</f>
        <v>1196599.2408</v>
      </c>
      <c r="L152" s="426">
        <f t="shared" ref="L152:Q152" si="2">+SUM(L11:L151)</f>
        <v>0</v>
      </c>
      <c r="M152" s="426">
        <f t="shared" si="2"/>
        <v>11300</v>
      </c>
      <c r="N152" s="426">
        <f t="shared" si="2"/>
        <v>233123</v>
      </c>
      <c r="O152" s="426">
        <f t="shared" si="2"/>
        <v>0</v>
      </c>
      <c r="P152" s="426">
        <f t="shared" si="2"/>
        <v>0</v>
      </c>
      <c r="Q152" s="426">
        <f t="shared" si="2"/>
        <v>0</v>
      </c>
      <c r="R152" s="427">
        <f>SUM(H152:Q152)</f>
        <v>10948942.583550001</v>
      </c>
      <c r="S152" s="31"/>
    </row>
    <row r="153" spans="3:19" ht="12.6" customHeight="1" thickBot="1" x14ac:dyDescent="0.25">
      <c r="C153" s="32"/>
      <c r="D153" s="33"/>
      <c r="E153" s="34"/>
      <c r="F153" s="35"/>
      <c r="G153" s="120"/>
      <c r="H153" s="33"/>
      <c r="I153" s="36"/>
      <c r="J153" s="397"/>
      <c r="K153" s="397"/>
      <c r="L153" s="397"/>
      <c r="M153" s="397"/>
      <c r="N153" s="397"/>
      <c r="O153" s="397"/>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319"/>
      <c r="D157" s="320"/>
      <c r="E157" s="320"/>
      <c r="F157" s="297"/>
      <c r="G157" s="297"/>
      <c r="H157" s="298"/>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302" t="s">
        <v>211</v>
      </c>
      <c r="F160" s="303"/>
      <c r="G160" s="304"/>
      <c r="H160" s="31"/>
    </row>
    <row r="161" spans="3:8" x14ac:dyDescent="0.2">
      <c r="C161" s="13"/>
      <c r="D161" s="14"/>
      <c r="E161" s="302" t="s">
        <v>211</v>
      </c>
      <c r="F161" s="303"/>
      <c r="G161" s="304"/>
      <c r="H161" s="31"/>
    </row>
    <row r="162" spans="3:8" x14ac:dyDescent="0.2">
      <c r="C162" s="13"/>
      <c r="D162" s="14"/>
      <c r="E162" s="302" t="s">
        <v>211</v>
      </c>
      <c r="F162" s="303"/>
      <c r="G162" s="304"/>
      <c r="H162" s="31"/>
    </row>
    <row r="163" spans="3:8" x14ac:dyDescent="0.2">
      <c r="C163" s="13"/>
      <c r="D163" s="14"/>
      <c r="E163" s="302" t="s">
        <v>211</v>
      </c>
      <c r="F163" s="303"/>
      <c r="G163" s="304"/>
      <c r="H163" s="31"/>
    </row>
    <row r="164" spans="3:8" x14ac:dyDescent="0.2">
      <c r="C164" s="13"/>
      <c r="D164" s="14"/>
      <c r="E164" s="302" t="s">
        <v>211</v>
      </c>
      <c r="F164" s="303"/>
      <c r="G164" s="304"/>
      <c r="H164" s="31"/>
    </row>
    <row r="165" spans="3:8" x14ac:dyDescent="0.2">
      <c r="C165" s="13"/>
      <c r="D165" s="14"/>
      <c r="E165" s="302" t="s">
        <v>211</v>
      </c>
      <c r="F165" s="303"/>
      <c r="G165" s="304"/>
      <c r="H165" s="31"/>
    </row>
    <row r="166" spans="3:8" x14ac:dyDescent="0.2">
      <c r="C166" s="13"/>
      <c r="D166" s="14"/>
      <c r="E166" s="302" t="s">
        <v>211</v>
      </c>
      <c r="F166" s="303"/>
      <c r="G166" s="304"/>
      <c r="H166" s="31"/>
    </row>
    <row r="167" spans="3:8" x14ac:dyDescent="0.2">
      <c r="C167" s="13"/>
      <c r="D167" s="14"/>
      <c r="E167" s="302" t="s">
        <v>211</v>
      </c>
      <c r="F167" s="303"/>
      <c r="G167" s="304"/>
      <c r="H167" s="31"/>
    </row>
    <row r="168" spans="3:8" x14ac:dyDescent="0.2">
      <c r="C168" s="13"/>
      <c r="D168" s="14"/>
      <c r="E168" s="302" t="s">
        <v>211</v>
      </c>
      <c r="F168" s="303"/>
      <c r="G168" s="304"/>
      <c r="H168" s="31"/>
    </row>
    <row r="169" spans="3:8" x14ac:dyDescent="0.2">
      <c r="C169" s="13"/>
      <c r="D169" s="14"/>
      <c r="E169" s="302" t="s">
        <v>211</v>
      </c>
      <c r="F169" s="303"/>
      <c r="G169" s="304"/>
      <c r="H169" s="31"/>
    </row>
    <row r="170" spans="3:8" x14ac:dyDescent="0.2">
      <c r="C170" s="13"/>
      <c r="D170" s="14"/>
      <c r="E170" s="302" t="s">
        <v>211</v>
      </c>
      <c r="F170" s="303"/>
      <c r="G170" s="304"/>
      <c r="H170" s="31"/>
    </row>
    <row r="171" spans="3:8" x14ac:dyDescent="0.2">
      <c r="C171" s="13"/>
      <c r="D171" s="14"/>
      <c r="E171" s="302" t="s">
        <v>211</v>
      </c>
      <c r="F171" s="303"/>
      <c r="G171" s="304"/>
      <c r="H171" s="31"/>
    </row>
    <row r="172" spans="3:8" x14ac:dyDescent="0.2">
      <c r="C172" s="13"/>
      <c r="D172" s="14"/>
      <c r="E172" s="302" t="s">
        <v>211</v>
      </c>
      <c r="F172" s="303"/>
      <c r="G172" s="304"/>
      <c r="H172" s="31"/>
    </row>
    <row r="173" spans="3:8" x14ac:dyDescent="0.2">
      <c r="C173" s="13"/>
      <c r="D173" s="14"/>
      <c r="E173" s="29" t="s">
        <v>87</v>
      </c>
      <c r="F173" s="304">
        <f>SUM(F160:F172)</f>
        <v>0</v>
      </c>
      <c r="G173" s="304"/>
      <c r="H173" s="31"/>
    </row>
    <row r="174" spans="3:8" x14ac:dyDescent="0.2">
      <c r="C174" s="13"/>
      <c r="D174" s="14"/>
      <c r="E174" s="29"/>
      <c r="F174" s="26"/>
      <c r="G174" s="26"/>
      <c r="H174" s="31"/>
    </row>
    <row r="175" spans="3:8" x14ac:dyDescent="0.2">
      <c r="C175" s="13"/>
      <c r="D175" s="14"/>
      <c r="E175" s="29" t="s">
        <v>215</v>
      </c>
      <c r="F175" s="317">
        <f>R151</f>
        <v>0</v>
      </c>
      <c r="G175" s="317"/>
      <c r="H175" s="31"/>
    </row>
    <row r="176" spans="3:8" x14ac:dyDescent="0.2">
      <c r="C176" s="13"/>
      <c r="D176" s="14"/>
      <c r="E176" s="30" t="s">
        <v>189</v>
      </c>
      <c r="F176" s="316">
        <f>F173-F175</f>
        <v>0</v>
      </c>
      <c r="G176" s="317"/>
      <c r="H176" s="31"/>
    </row>
    <row r="177" spans="3:8" ht="14.25" x14ac:dyDescent="0.2">
      <c r="C177" s="13"/>
      <c r="D177" s="14"/>
      <c r="E177" s="310" t="s">
        <v>210</v>
      </c>
      <c r="F177" s="321" t="str">
        <f>IF(F176="","",IF(F176=0,"OK","ISSUE"))</f>
        <v>OK</v>
      </c>
      <c r="G177" s="309"/>
      <c r="H177" s="31"/>
    </row>
    <row r="178" spans="3:8" x14ac:dyDescent="0.2">
      <c r="C178" s="13"/>
      <c r="D178" s="14"/>
      <c r="G178" s="311"/>
      <c r="H178" s="31"/>
    </row>
    <row r="179" spans="3:8" ht="13.5" thickBot="1" x14ac:dyDescent="0.25">
      <c r="C179" s="117"/>
      <c r="D179" s="234"/>
      <c r="E179" s="234"/>
      <c r="F179" s="318"/>
      <c r="G179" s="318"/>
      <c r="H179" s="12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437"/>
  <sheetViews>
    <sheetView zoomScale="80" zoomScaleNormal="80" zoomScalePageLayoutView="80" workbookViewId="0">
      <pane ySplit="11" topLeftCell="A170" activePane="bottomLeft" state="frozen"/>
      <selection pane="bottomLeft" activeCell="N180" sqref="N180:S202"/>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Queenscliffe (B)</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x14ac:dyDescent="0.2">
      <c r="C6" s="13"/>
      <c r="D6" s="45"/>
      <c r="E6" s="81"/>
      <c r="F6" s="54"/>
      <c r="G6" s="14"/>
      <c r="H6" s="14"/>
      <c r="I6" s="14"/>
      <c r="J6" s="14"/>
      <c r="K6" s="768" t="str">
        <f>VLOOKUP(' Instructions'!C9,' Instructions'!Q9:U15,2,FALSE)</f>
        <v>2017-18</v>
      </c>
      <c r="L6" s="769"/>
      <c r="M6" s="769"/>
      <c r="N6" s="769"/>
      <c r="O6" s="769"/>
      <c r="P6" s="769"/>
      <c r="Q6" s="769"/>
      <c r="R6" s="769"/>
      <c r="S6" s="769"/>
      <c r="T6" s="771"/>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12.75" customHeight="1" x14ac:dyDescent="0.2">
      <c r="C8" s="13"/>
      <c r="D8" s="14"/>
      <c r="E8" s="81"/>
      <c r="F8" s="831" t="s">
        <v>107</v>
      </c>
      <c r="G8" s="832"/>
      <c r="H8" s="833"/>
      <c r="I8" s="773" t="s">
        <v>162</v>
      </c>
      <c r="J8" s="14"/>
      <c r="K8" s="845" t="s">
        <v>160</v>
      </c>
      <c r="L8" s="845"/>
      <c r="M8" s="845"/>
      <c r="N8" s="786" t="s">
        <v>101</v>
      </c>
      <c r="O8" s="787"/>
      <c r="P8" s="787"/>
      <c r="Q8" s="787"/>
      <c r="R8" s="788"/>
      <c r="S8" s="772" t="s">
        <v>116</v>
      </c>
      <c r="T8" s="772" t="s">
        <v>91</v>
      </c>
      <c r="U8" s="31"/>
      <c r="V8" s="14"/>
    </row>
    <row r="9" spans="1:22" ht="25.5" x14ac:dyDescent="0.2">
      <c r="C9" s="13"/>
      <c r="D9" s="14"/>
      <c r="E9" s="118"/>
      <c r="F9" s="834"/>
      <c r="G9" s="835"/>
      <c r="H9" s="836"/>
      <c r="I9" s="774"/>
      <c r="J9" s="14"/>
      <c r="K9" s="224" t="s">
        <v>117</v>
      </c>
      <c r="L9" s="224" t="s">
        <v>124</v>
      </c>
      <c r="M9" s="224" t="s">
        <v>161</v>
      </c>
      <c r="N9" s="222" t="s">
        <v>103</v>
      </c>
      <c r="O9" s="222" t="s">
        <v>104</v>
      </c>
      <c r="P9" s="222" t="s">
        <v>105</v>
      </c>
      <c r="Q9" s="222" t="s">
        <v>106</v>
      </c>
      <c r="R9" s="222" t="s">
        <v>87</v>
      </c>
      <c r="S9" s="772"/>
      <c r="T9" s="772"/>
      <c r="U9" s="31"/>
      <c r="V9" s="14"/>
    </row>
    <row r="10" spans="1:22" x14ac:dyDescent="0.2">
      <c r="C10" s="13"/>
      <c r="D10" s="14"/>
      <c r="E10" s="118"/>
      <c r="F10" s="150"/>
      <c r="G10" s="150"/>
      <c r="H10" s="150"/>
      <c r="I10" s="150"/>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793" t="str">
        <f>'[4]ESC Cap Wks'!$A$6</f>
        <v>Harbour Street Path, Road &amp; Drainage Improvements</v>
      </c>
      <c r="F12" s="795" t="s">
        <v>558</v>
      </c>
      <c r="G12" s="827"/>
      <c r="H12" s="828"/>
      <c r="I12" s="702" t="s">
        <v>514</v>
      </c>
      <c r="J12" s="14"/>
      <c r="K12" s="844">
        <v>0</v>
      </c>
      <c r="L12" s="829">
        <v>0</v>
      </c>
      <c r="M12" s="829">
        <v>1</v>
      </c>
      <c r="N12" s="830">
        <v>0</v>
      </c>
      <c r="O12" s="830">
        <f>0.4*GETPIVOTDATA("Sum of 2017/18",'[4]ESC Cap Wks'!$A$3,"ACCOUNT NAME","Harbour Street Path, Road &amp; Drainage Improvements","Statement of Capital Works - Asset Class","40% Roads, 40% Footpaths and cycleways, 20% Drainage","Statement of Capital Works - N/R/U","40% renewal, 60% upgrade")</f>
        <v>32000</v>
      </c>
      <c r="P12" s="830">
        <v>0</v>
      </c>
      <c r="Q12" s="830">
        <f>0.6*GETPIVOTDATA("Sum of 2017/18",'[4]ESC Cap Wks'!$A$3,"ACCOUNT NAME","Harbour Street Path, Road &amp; Drainage Improvements","Statement of Capital Works - Asset Class","40% Roads, 40% Footpaths and cycleways, 20% Drainage","Statement of Capital Works - N/R/U","40% renewal, 60% upgrade")</f>
        <v>48000</v>
      </c>
      <c r="R12" s="840">
        <f>SUM(N12:Q16)</f>
        <v>80000</v>
      </c>
      <c r="S12" s="403" t="s">
        <v>363</v>
      </c>
      <c r="T12" s="404">
        <f>SUM('[9]6. Detailed Capital Works'!$I$48,'[9]6. Detailed Capital Works'!$I$53,'[9]6. Detailed Capital Works'!$I$58)*1000</f>
        <v>80000</v>
      </c>
      <c r="U12" s="31"/>
      <c r="V12" s="14"/>
    </row>
    <row r="13" spans="1:22" ht="12" customHeight="1" x14ac:dyDescent="0.2">
      <c r="C13" s="13"/>
      <c r="D13" s="19"/>
      <c r="E13" s="782"/>
      <c r="F13" s="812"/>
      <c r="G13" s="813"/>
      <c r="H13" s="814"/>
      <c r="I13" s="702" t="s">
        <v>515</v>
      </c>
      <c r="J13" s="14"/>
      <c r="K13" s="805"/>
      <c r="L13" s="805"/>
      <c r="M13" s="805"/>
      <c r="N13" s="779"/>
      <c r="O13" s="779"/>
      <c r="P13" s="779"/>
      <c r="Q13" s="779"/>
      <c r="R13" s="791"/>
      <c r="S13" s="78"/>
      <c r="T13" s="108"/>
      <c r="U13" s="31"/>
      <c r="V13" s="14"/>
    </row>
    <row r="14" spans="1:22" ht="12" customHeight="1" x14ac:dyDescent="0.2">
      <c r="C14" s="13"/>
      <c r="D14" s="19"/>
      <c r="E14" s="782"/>
      <c r="F14" s="812"/>
      <c r="G14" s="813"/>
      <c r="H14" s="814"/>
      <c r="I14" s="702" t="s">
        <v>516</v>
      </c>
      <c r="J14" s="14"/>
      <c r="K14" s="805"/>
      <c r="L14" s="805"/>
      <c r="M14" s="805"/>
      <c r="N14" s="779"/>
      <c r="O14" s="779"/>
      <c r="P14" s="779"/>
      <c r="Q14" s="779"/>
      <c r="R14" s="791"/>
      <c r="S14" s="78"/>
      <c r="T14" s="108"/>
      <c r="U14" s="31"/>
      <c r="V14" s="14"/>
    </row>
    <row r="15" spans="1:22" ht="12" customHeight="1" x14ac:dyDescent="0.2">
      <c r="C15" s="13"/>
      <c r="D15" s="19"/>
      <c r="E15" s="782"/>
      <c r="F15" s="812"/>
      <c r="G15" s="813"/>
      <c r="H15" s="814"/>
      <c r="I15" s="702"/>
      <c r="J15" s="14"/>
      <c r="K15" s="805"/>
      <c r="L15" s="805"/>
      <c r="M15" s="805"/>
      <c r="N15" s="779"/>
      <c r="O15" s="779"/>
      <c r="P15" s="779"/>
      <c r="Q15" s="779"/>
      <c r="R15" s="791"/>
      <c r="S15" s="78"/>
      <c r="T15" s="108"/>
      <c r="U15" s="31"/>
      <c r="V15" s="14"/>
    </row>
    <row r="16" spans="1:22" ht="12" customHeight="1" x14ac:dyDescent="0.2">
      <c r="C16" s="13"/>
      <c r="D16" s="19"/>
      <c r="E16" s="783"/>
      <c r="F16" s="824"/>
      <c r="G16" s="825"/>
      <c r="H16" s="826"/>
      <c r="I16" s="702"/>
      <c r="J16" s="14"/>
      <c r="K16" s="808"/>
      <c r="L16" s="808"/>
      <c r="M16" s="808"/>
      <c r="N16" s="789"/>
      <c r="O16" s="789"/>
      <c r="P16" s="789"/>
      <c r="Q16" s="789"/>
      <c r="R16" s="792"/>
      <c r="S16" s="151" t="s">
        <v>87</v>
      </c>
      <c r="T16" s="109">
        <f>SUM(T12:T15)</f>
        <v>80000</v>
      </c>
      <c r="U16" s="31"/>
      <c r="V16" s="14"/>
    </row>
    <row r="17" spans="3:22" ht="12" customHeight="1" x14ac:dyDescent="0.2">
      <c r="C17" s="13"/>
      <c r="D17" s="19">
        <f>D12+1</f>
        <v>2</v>
      </c>
      <c r="E17" s="781" t="str">
        <f>'[4]ESC Cap Wks'!$A$14</f>
        <v>Develop Stage 2 of the Queenscliff Sports &amp; Recreation Precinct Development Plan</v>
      </c>
      <c r="F17" s="821" t="s">
        <v>517</v>
      </c>
      <c r="G17" s="822"/>
      <c r="H17" s="823"/>
      <c r="I17" s="702" t="s">
        <v>516</v>
      </c>
      <c r="J17" s="14"/>
      <c r="K17" s="804">
        <v>0.5</v>
      </c>
      <c r="L17" s="804">
        <v>0</v>
      </c>
      <c r="M17" s="804">
        <v>0.5</v>
      </c>
      <c r="N17" s="778">
        <f>0.35*GETPIVOTDATA("Sum of 2017/18",'[4]ESC Cap Wks'!$A$3,"ACCOUNT NAME","Develop Stage 2 of the Queenscliff Sports &amp; Recreation Precinct Development Plan","Statement of Capital Works - Asset Class","50% Buildings, 47% RL&amp;CF, 3% Roads","Statement of Capital Works - N/R/U","15% renewal, 50% upgrade, 35% new")</f>
        <v>476884.53049999994</v>
      </c>
      <c r="O17" s="778">
        <f>0.15*GETPIVOTDATA("Sum of 2017/18",'[4]ESC Cap Wks'!$A$3,"ACCOUNT NAME","Develop Stage 2 of the Queenscliff Sports &amp; Recreation Precinct Development Plan","Statement of Capital Works - Asset Class","50% Buildings, 47% RL&amp;CF, 3% Roads","Statement of Capital Works - N/R/U","15% renewal, 50% upgrade, 35% new")</f>
        <v>204379.0845</v>
      </c>
      <c r="P17" s="778">
        <v>0</v>
      </c>
      <c r="Q17" s="778">
        <f>0.5*GETPIVOTDATA("Sum of 2017/18",'[4]ESC Cap Wks'!$A$3,"ACCOUNT NAME","Develop Stage 2 of the Queenscliff Sports &amp; Recreation Precinct Development Plan","Statement of Capital Works - Asset Class","50% Buildings, 47% RL&amp;CF, 3% Roads","Statement of Capital Works - N/R/U","15% renewal, 50% upgrade, 35% new")</f>
        <v>681263.61499999999</v>
      </c>
      <c r="R17" s="790">
        <f>SUM(N17:Q21)</f>
        <v>1362527.23</v>
      </c>
      <c r="S17" s="78" t="s">
        <v>108</v>
      </c>
      <c r="T17" s="110">
        <f>SUM('[9]6. Detailed Capital Works'!$G$109,'[9]6. Detailed Capital Works'!$G$118,'[9]6. Detailed Capital Works'!$G$131)*1000</f>
        <v>1835000</v>
      </c>
      <c r="U17" s="31"/>
      <c r="V17" s="14"/>
    </row>
    <row r="18" spans="3:22" ht="12" customHeight="1" x14ac:dyDescent="0.2">
      <c r="C18" s="13"/>
      <c r="D18" s="19"/>
      <c r="E18" s="782"/>
      <c r="F18" s="798"/>
      <c r="G18" s="799"/>
      <c r="H18" s="800"/>
      <c r="I18" s="702" t="s">
        <v>514</v>
      </c>
      <c r="J18" s="14"/>
      <c r="K18" s="805"/>
      <c r="L18" s="805"/>
      <c r="M18" s="805"/>
      <c r="N18" s="779"/>
      <c r="O18" s="779"/>
      <c r="P18" s="779"/>
      <c r="Q18" s="779"/>
      <c r="R18" s="791"/>
      <c r="S18" s="78" t="s">
        <v>111</v>
      </c>
      <c r="T18" s="110">
        <f>SUM('[9]6. Detailed Capital Works'!$J$109,'[9]6. Detailed Capital Works'!$J$118,'[9]6. Detailed Capital Works'!$J$131)*1000</f>
        <v>-472472.76999999996</v>
      </c>
      <c r="U18" s="31"/>
      <c r="V18" s="14"/>
    </row>
    <row r="19" spans="3:22" ht="12" customHeight="1" x14ac:dyDescent="0.2">
      <c r="C19" s="13"/>
      <c r="D19" s="19"/>
      <c r="E19" s="782"/>
      <c r="F19" s="798"/>
      <c r="G19" s="799"/>
      <c r="H19" s="800"/>
      <c r="I19" s="702" t="s">
        <v>518</v>
      </c>
      <c r="J19" s="14"/>
      <c r="K19" s="805"/>
      <c r="L19" s="805"/>
      <c r="M19" s="805"/>
      <c r="N19" s="779"/>
      <c r="O19" s="779"/>
      <c r="P19" s="779"/>
      <c r="Q19" s="779"/>
      <c r="R19" s="791"/>
      <c r="S19" s="78"/>
      <c r="T19" s="110"/>
      <c r="U19" s="31"/>
      <c r="V19" s="14"/>
    </row>
    <row r="20" spans="3:22" ht="12" customHeight="1" x14ac:dyDescent="0.2">
      <c r="C20" s="13"/>
      <c r="D20" s="19"/>
      <c r="E20" s="782"/>
      <c r="F20" s="798"/>
      <c r="G20" s="799"/>
      <c r="H20" s="800"/>
      <c r="I20" s="702" t="s">
        <v>519</v>
      </c>
      <c r="J20" s="14"/>
      <c r="K20" s="805"/>
      <c r="L20" s="805"/>
      <c r="M20" s="805"/>
      <c r="N20" s="779"/>
      <c r="O20" s="779"/>
      <c r="P20" s="779"/>
      <c r="Q20" s="779"/>
      <c r="R20" s="791"/>
      <c r="S20" s="78"/>
      <c r="T20" s="110"/>
      <c r="U20" s="31"/>
      <c r="V20" s="14"/>
    </row>
    <row r="21" spans="3:22" ht="12" customHeight="1" x14ac:dyDescent="0.2">
      <c r="C21" s="13"/>
      <c r="D21" s="19"/>
      <c r="E21" s="783"/>
      <c r="F21" s="818"/>
      <c r="G21" s="819"/>
      <c r="H21" s="820"/>
      <c r="I21" s="702" t="s">
        <v>515</v>
      </c>
      <c r="J21" s="14"/>
      <c r="K21" s="808"/>
      <c r="L21" s="808"/>
      <c r="M21" s="808"/>
      <c r="N21" s="789"/>
      <c r="O21" s="789"/>
      <c r="P21" s="789"/>
      <c r="Q21" s="789"/>
      <c r="R21" s="792"/>
      <c r="S21" s="151" t="s">
        <v>87</v>
      </c>
      <c r="T21" s="109">
        <f>SUM(T17:T20)</f>
        <v>1362527.23</v>
      </c>
      <c r="U21" s="31"/>
      <c r="V21" s="14"/>
    </row>
    <row r="22" spans="3:22" ht="12" customHeight="1" x14ac:dyDescent="0.2">
      <c r="C22" s="13"/>
      <c r="D22" s="19">
        <f>D17+1</f>
        <v>3</v>
      </c>
      <c r="E22" s="781" t="str">
        <f>'[4]ESC Cap Wks'!$A$41</f>
        <v>Queenscliffe Cultural Hub</v>
      </c>
      <c r="F22" s="821" t="s">
        <v>520</v>
      </c>
      <c r="G22" s="810"/>
      <c r="H22" s="811"/>
      <c r="I22" s="702" t="s">
        <v>515</v>
      </c>
      <c r="J22" s="14"/>
      <c r="K22" s="804">
        <v>1</v>
      </c>
      <c r="L22" s="804">
        <v>0</v>
      </c>
      <c r="M22" s="804">
        <v>0</v>
      </c>
      <c r="N22" s="778">
        <v>0</v>
      </c>
      <c r="O22" s="778">
        <v>0</v>
      </c>
      <c r="P22" s="778">
        <v>0</v>
      </c>
      <c r="Q22" s="778">
        <f>GETPIVOTDATA("Sum of 2017/18",'[4]ESC Cap Wks'!$A$3,"ACCOUNT NAME","Queenscliffe Cultural Hub","Statement of Capital Works - Asset Class","Buildings","Statement of Capital Works - N/R/U","Asset upgrade expenditure")</f>
        <v>100000</v>
      </c>
      <c r="R22" s="790">
        <f>SUM(N22:Q26)</f>
        <v>100000</v>
      </c>
      <c r="S22" s="78" t="s">
        <v>111</v>
      </c>
      <c r="T22" s="110">
        <f>'[9]6. Detailed Capital Works'!$J$13*1000</f>
        <v>100000</v>
      </c>
      <c r="U22" s="31"/>
      <c r="V22" s="14"/>
    </row>
    <row r="23" spans="3:22" ht="12" customHeight="1" x14ac:dyDescent="0.2">
      <c r="C23" s="13"/>
      <c r="D23" s="19"/>
      <c r="E23" s="782"/>
      <c r="F23" s="812"/>
      <c r="G23" s="813"/>
      <c r="H23" s="814"/>
      <c r="I23" s="702" t="s">
        <v>521</v>
      </c>
      <c r="J23" s="14"/>
      <c r="K23" s="805"/>
      <c r="L23" s="805"/>
      <c r="M23" s="805"/>
      <c r="N23" s="779"/>
      <c r="O23" s="779"/>
      <c r="P23" s="779"/>
      <c r="Q23" s="779"/>
      <c r="R23" s="791"/>
      <c r="S23" s="78"/>
      <c r="T23" s="110"/>
      <c r="U23" s="31"/>
      <c r="V23" s="14"/>
    </row>
    <row r="24" spans="3:22" ht="12" customHeight="1" x14ac:dyDescent="0.2">
      <c r="C24" s="13"/>
      <c r="D24" s="19"/>
      <c r="E24" s="782"/>
      <c r="F24" s="812"/>
      <c r="G24" s="813"/>
      <c r="H24" s="814"/>
      <c r="I24" s="702" t="s">
        <v>522</v>
      </c>
      <c r="J24" s="14"/>
      <c r="K24" s="805"/>
      <c r="L24" s="805"/>
      <c r="M24" s="805"/>
      <c r="N24" s="779"/>
      <c r="O24" s="779"/>
      <c r="P24" s="779"/>
      <c r="Q24" s="779"/>
      <c r="R24" s="791"/>
      <c r="S24" s="78"/>
      <c r="T24" s="110"/>
      <c r="U24" s="31"/>
      <c r="V24" s="14"/>
    </row>
    <row r="25" spans="3:22" ht="12" customHeight="1" x14ac:dyDescent="0.2">
      <c r="C25" s="13"/>
      <c r="D25" s="19"/>
      <c r="E25" s="782"/>
      <c r="F25" s="812"/>
      <c r="G25" s="813"/>
      <c r="H25" s="814"/>
      <c r="I25" s="702" t="s">
        <v>514</v>
      </c>
      <c r="J25" s="14"/>
      <c r="K25" s="805"/>
      <c r="L25" s="805"/>
      <c r="M25" s="805"/>
      <c r="N25" s="779"/>
      <c r="O25" s="779"/>
      <c r="P25" s="779"/>
      <c r="Q25" s="779"/>
      <c r="R25" s="791"/>
      <c r="S25" s="78"/>
      <c r="T25" s="110"/>
      <c r="U25" s="31"/>
      <c r="V25" s="14"/>
    </row>
    <row r="26" spans="3:22" ht="12" customHeight="1" x14ac:dyDescent="0.2">
      <c r="C26" s="13"/>
      <c r="D26" s="19"/>
      <c r="E26" s="783"/>
      <c r="F26" s="824"/>
      <c r="G26" s="825"/>
      <c r="H26" s="826"/>
      <c r="I26" s="702"/>
      <c r="J26" s="14"/>
      <c r="K26" s="808"/>
      <c r="L26" s="808"/>
      <c r="M26" s="808"/>
      <c r="N26" s="789"/>
      <c r="O26" s="789"/>
      <c r="P26" s="789"/>
      <c r="Q26" s="789"/>
      <c r="R26" s="792"/>
      <c r="S26" s="151" t="s">
        <v>87</v>
      </c>
      <c r="T26" s="109">
        <f>SUM(T22:T25)</f>
        <v>100000</v>
      </c>
      <c r="U26" s="31"/>
      <c r="V26" s="14"/>
    </row>
    <row r="27" spans="3:22" ht="12" customHeight="1" x14ac:dyDescent="0.2">
      <c r="C27" s="13"/>
      <c r="D27" s="19">
        <f>D22+1</f>
        <v>4</v>
      </c>
      <c r="E27" s="781" t="str">
        <f>'[4]ESC Cap Wks'!$A$43</f>
        <v>New decking at the Queenscliffe Neighbourhood House</v>
      </c>
      <c r="F27" s="821" t="s">
        <v>523</v>
      </c>
      <c r="G27" s="810"/>
      <c r="H27" s="811"/>
      <c r="I27" s="702" t="s">
        <v>516</v>
      </c>
      <c r="J27" s="14"/>
      <c r="K27" s="804">
        <v>1</v>
      </c>
      <c r="L27" s="804">
        <v>0</v>
      </c>
      <c r="M27" s="804">
        <v>0</v>
      </c>
      <c r="N27" s="778">
        <f>GETPIVOTDATA("Sum of 2017/18",'[4]ESC Cap Wks'!$A$3,"ACCOUNT NAME","New decking at the Queenscliffe Neighbourhood House","Statement of Capital Works - Asset Class","Buildings","Statement of Capital Works - N/R/U","New asset expenditure")</f>
        <v>15000</v>
      </c>
      <c r="O27" s="778">
        <v>0</v>
      </c>
      <c r="P27" s="778">
        <v>0</v>
      </c>
      <c r="Q27" s="778">
        <v>0</v>
      </c>
      <c r="R27" s="790">
        <f>SUM(N27:Q31)</f>
        <v>15000</v>
      </c>
      <c r="S27" s="78" t="s">
        <v>363</v>
      </c>
      <c r="T27" s="110">
        <f>'[9]6. Detailed Capital Works'!$I$14*1000</f>
        <v>10000</v>
      </c>
      <c r="U27" s="31"/>
      <c r="V27" s="14"/>
    </row>
    <row r="28" spans="3:22" ht="12" customHeight="1" x14ac:dyDescent="0.2">
      <c r="C28" s="13"/>
      <c r="D28" s="19"/>
      <c r="E28" s="782"/>
      <c r="F28" s="812"/>
      <c r="G28" s="813"/>
      <c r="H28" s="814"/>
      <c r="I28" s="702" t="s">
        <v>515</v>
      </c>
      <c r="J28" s="14"/>
      <c r="K28" s="805"/>
      <c r="L28" s="805"/>
      <c r="M28" s="805"/>
      <c r="N28" s="779"/>
      <c r="O28" s="779"/>
      <c r="P28" s="779"/>
      <c r="Q28" s="779"/>
      <c r="R28" s="791"/>
      <c r="S28" s="78" t="s">
        <v>109</v>
      </c>
      <c r="T28" s="110">
        <f>'[9]6. Detailed Capital Works'!$H$14*1000</f>
        <v>5000</v>
      </c>
      <c r="U28" s="31"/>
      <c r="V28" s="14"/>
    </row>
    <row r="29" spans="3:22" ht="12" customHeight="1" x14ac:dyDescent="0.2">
      <c r="C29" s="13"/>
      <c r="D29" s="19"/>
      <c r="E29" s="782"/>
      <c r="F29" s="812"/>
      <c r="G29" s="813"/>
      <c r="H29" s="814"/>
      <c r="I29" s="702"/>
      <c r="J29" s="14"/>
      <c r="K29" s="805"/>
      <c r="L29" s="805"/>
      <c r="M29" s="805"/>
      <c r="N29" s="779"/>
      <c r="O29" s="779"/>
      <c r="P29" s="779"/>
      <c r="Q29" s="779"/>
      <c r="R29" s="791"/>
      <c r="S29" s="78"/>
      <c r="T29" s="110"/>
      <c r="U29" s="31"/>
      <c r="V29" s="14"/>
    </row>
    <row r="30" spans="3:22" ht="12" customHeight="1" x14ac:dyDescent="0.2">
      <c r="C30" s="13"/>
      <c r="D30" s="19"/>
      <c r="E30" s="782"/>
      <c r="F30" s="812"/>
      <c r="G30" s="813"/>
      <c r="H30" s="814"/>
      <c r="I30" s="702"/>
      <c r="J30" s="14"/>
      <c r="K30" s="805"/>
      <c r="L30" s="805"/>
      <c r="M30" s="805"/>
      <c r="N30" s="779"/>
      <c r="O30" s="779"/>
      <c r="P30" s="779"/>
      <c r="Q30" s="779"/>
      <c r="R30" s="791"/>
      <c r="S30" s="78"/>
      <c r="T30" s="110"/>
      <c r="U30" s="31"/>
      <c r="V30" s="14"/>
    </row>
    <row r="31" spans="3:22" ht="12" customHeight="1" x14ac:dyDescent="0.2">
      <c r="C31" s="13"/>
      <c r="D31" s="19"/>
      <c r="E31" s="783"/>
      <c r="F31" s="824"/>
      <c r="G31" s="825"/>
      <c r="H31" s="826"/>
      <c r="I31" s="702"/>
      <c r="J31" s="14"/>
      <c r="K31" s="808"/>
      <c r="L31" s="808"/>
      <c r="M31" s="808"/>
      <c r="N31" s="789"/>
      <c r="O31" s="789"/>
      <c r="P31" s="789"/>
      <c r="Q31" s="789"/>
      <c r="R31" s="792"/>
      <c r="S31" s="151" t="s">
        <v>87</v>
      </c>
      <c r="T31" s="109">
        <f>SUM(T27:T30)</f>
        <v>15000</v>
      </c>
      <c r="U31" s="31"/>
      <c r="V31" s="14"/>
    </row>
    <row r="32" spans="3:22" ht="12" customHeight="1" x14ac:dyDescent="0.2">
      <c r="C32" s="13"/>
      <c r="D32" s="19">
        <f>D27+1</f>
        <v>5</v>
      </c>
      <c r="E32" s="781" t="str">
        <f>'[4]ESC Cap Wks'!$A$45</f>
        <v>Town hall upgrade including solar panels</v>
      </c>
      <c r="F32" s="821" t="s">
        <v>524</v>
      </c>
      <c r="G32" s="822"/>
      <c r="H32" s="823"/>
      <c r="I32" s="702" t="s">
        <v>525</v>
      </c>
      <c r="J32" s="14"/>
      <c r="K32" s="804">
        <v>1</v>
      </c>
      <c r="L32" s="804">
        <v>0</v>
      </c>
      <c r="M32" s="804">
        <v>0</v>
      </c>
      <c r="N32" s="778">
        <f>GETPIVOTDATA("Sum of 2017/18",'[4]ESC Cap Wks'!$A$3,"ACCOUNT NAME","Town hall upgrade including solar panels","Statement of Capital Works - Asset Class","Buildings","Statement of Capital Works - N/R/U","New asset expenditure")</f>
        <v>1688.58</v>
      </c>
      <c r="O32" s="778">
        <v>0</v>
      </c>
      <c r="P32" s="778">
        <v>0</v>
      </c>
      <c r="Q32" s="778">
        <v>0</v>
      </c>
      <c r="R32" s="790">
        <f>SUM(N32:Q36)</f>
        <v>1688.58</v>
      </c>
      <c r="S32" s="78" t="s">
        <v>111</v>
      </c>
      <c r="T32" s="110">
        <f>'[9]6. Detailed Capital Works'!$J$110*1000</f>
        <v>1688.58</v>
      </c>
      <c r="U32" s="31"/>
      <c r="V32" s="14"/>
    </row>
    <row r="33" spans="3:22" ht="12" customHeight="1" x14ac:dyDescent="0.2">
      <c r="C33" s="13"/>
      <c r="D33" s="19"/>
      <c r="E33" s="782"/>
      <c r="F33" s="798"/>
      <c r="G33" s="799"/>
      <c r="H33" s="800"/>
      <c r="I33" s="702" t="s">
        <v>514</v>
      </c>
      <c r="J33" s="14"/>
      <c r="K33" s="805"/>
      <c r="L33" s="805"/>
      <c r="M33" s="805"/>
      <c r="N33" s="779"/>
      <c r="O33" s="779"/>
      <c r="P33" s="779"/>
      <c r="Q33" s="779"/>
      <c r="R33" s="791"/>
      <c r="S33" s="78"/>
      <c r="T33" s="110"/>
      <c r="U33" s="31"/>
      <c r="V33" s="14"/>
    </row>
    <row r="34" spans="3:22" ht="12" customHeight="1" x14ac:dyDescent="0.2">
      <c r="C34" s="13"/>
      <c r="D34" s="19"/>
      <c r="E34" s="782"/>
      <c r="F34" s="798"/>
      <c r="G34" s="799"/>
      <c r="H34" s="800"/>
      <c r="I34" s="702" t="s">
        <v>526</v>
      </c>
      <c r="J34" s="14"/>
      <c r="K34" s="805"/>
      <c r="L34" s="805"/>
      <c r="M34" s="805"/>
      <c r="N34" s="779"/>
      <c r="O34" s="779"/>
      <c r="P34" s="779"/>
      <c r="Q34" s="779"/>
      <c r="R34" s="791"/>
      <c r="S34" s="78"/>
      <c r="T34" s="110"/>
      <c r="U34" s="31"/>
      <c r="V34" s="14"/>
    </row>
    <row r="35" spans="3:22" ht="12" customHeight="1" x14ac:dyDescent="0.2">
      <c r="C35" s="13"/>
      <c r="D35" s="19"/>
      <c r="E35" s="782"/>
      <c r="F35" s="798"/>
      <c r="G35" s="799"/>
      <c r="H35" s="800"/>
      <c r="I35" s="702"/>
      <c r="J35" s="14"/>
      <c r="K35" s="805"/>
      <c r="L35" s="805"/>
      <c r="M35" s="805"/>
      <c r="N35" s="779"/>
      <c r="O35" s="779"/>
      <c r="P35" s="779"/>
      <c r="Q35" s="779"/>
      <c r="R35" s="791"/>
      <c r="S35" s="78"/>
      <c r="T35" s="110"/>
      <c r="U35" s="31"/>
      <c r="V35" s="14"/>
    </row>
    <row r="36" spans="3:22" ht="12" customHeight="1" x14ac:dyDescent="0.2">
      <c r="C36" s="13"/>
      <c r="D36" s="19"/>
      <c r="E36" s="783"/>
      <c r="F36" s="818"/>
      <c r="G36" s="819"/>
      <c r="H36" s="820"/>
      <c r="I36" s="702"/>
      <c r="J36" s="14"/>
      <c r="K36" s="808"/>
      <c r="L36" s="808"/>
      <c r="M36" s="808"/>
      <c r="N36" s="789"/>
      <c r="O36" s="789"/>
      <c r="P36" s="789"/>
      <c r="Q36" s="789"/>
      <c r="R36" s="792"/>
      <c r="S36" s="151" t="s">
        <v>87</v>
      </c>
      <c r="T36" s="109">
        <f>SUM(T32:T35)</f>
        <v>1688.58</v>
      </c>
      <c r="U36" s="31"/>
      <c r="V36" s="14"/>
    </row>
    <row r="37" spans="3:22" x14ac:dyDescent="0.2">
      <c r="C37" s="13"/>
      <c r="D37" s="19">
        <f>D32+1</f>
        <v>6</v>
      </c>
      <c r="E37" s="781" t="str">
        <f>'[4]ESC Cap Wks'!$A$61</f>
        <v>Footpath Strategy</v>
      </c>
      <c r="F37" s="821" t="s">
        <v>527</v>
      </c>
      <c r="G37" s="822"/>
      <c r="H37" s="823"/>
      <c r="I37" s="702" t="s">
        <v>514</v>
      </c>
      <c r="J37" s="14"/>
      <c r="K37" s="804">
        <v>0</v>
      </c>
      <c r="L37" s="804">
        <v>0</v>
      </c>
      <c r="M37" s="804">
        <v>1</v>
      </c>
      <c r="N37" s="778">
        <v>0</v>
      </c>
      <c r="O37" s="778">
        <f>0.5*GETPIVOTDATA("Sum of 2017/18",'[4]ESC Cap Wks'!$A$3,"ACCOUNT NAME","Footpath Strategy","Statement of Capital Works - Asset Class","Footpaths and cycleways","Statement of Capital Works - N/R/U","50% renewal, 50% upgrade")</f>
        <v>10000</v>
      </c>
      <c r="P37" s="778">
        <v>0</v>
      </c>
      <c r="Q37" s="778">
        <f>0.5*GETPIVOTDATA("Sum of 2017/18",'[4]ESC Cap Wks'!$A$3,"ACCOUNT NAME","Footpath Strategy","Statement of Capital Works - Asset Class","Footpaths and cycleways","Statement of Capital Works - N/R/U","50% renewal, 50% upgrade")</f>
        <v>10000</v>
      </c>
      <c r="R37" s="790">
        <f>SUM(N37:Q41)</f>
        <v>20000</v>
      </c>
      <c r="S37" s="78" t="s">
        <v>111</v>
      </c>
      <c r="T37" s="110">
        <f>'[9]6. Detailed Capital Works'!$J$122*1000</f>
        <v>20000</v>
      </c>
      <c r="U37" s="31"/>
      <c r="V37" s="14"/>
    </row>
    <row r="38" spans="3:22" ht="12.75" customHeight="1" x14ac:dyDescent="0.2">
      <c r="C38" s="13"/>
      <c r="D38" s="19"/>
      <c r="E38" s="782"/>
      <c r="F38" s="798"/>
      <c r="G38" s="799"/>
      <c r="H38" s="800"/>
      <c r="I38" s="702" t="s">
        <v>516</v>
      </c>
      <c r="J38" s="14"/>
      <c r="K38" s="805"/>
      <c r="L38" s="805"/>
      <c r="M38" s="805"/>
      <c r="N38" s="779"/>
      <c r="O38" s="779"/>
      <c r="P38" s="779"/>
      <c r="Q38" s="779"/>
      <c r="R38" s="791"/>
      <c r="S38" s="78"/>
      <c r="T38" s="110"/>
      <c r="U38" s="31"/>
      <c r="V38" s="14"/>
    </row>
    <row r="39" spans="3:22" x14ac:dyDescent="0.2">
      <c r="C39" s="13"/>
      <c r="D39" s="19"/>
      <c r="E39" s="782"/>
      <c r="F39" s="798"/>
      <c r="G39" s="799"/>
      <c r="H39" s="800"/>
      <c r="I39" s="702" t="s">
        <v>528</v>
      </c>
      <c r="J39" s="14"/>
      <c r="K39" s="805"/>
      <c r="L39" s="805"/>
      <c r="M39" s="805"/>
      <c r="N39" s="779"/>
      <c r="O39" s="779"/>
      <c r="P39" s="779"/>
      <c r="Q39" s="779"/>
      <c r="R39" s="791"/>
      <c r="S39" s="78"/>
      <c r="T39" s="110"/>
      <c r="U39" s="31"/>
      <c r="V39" s="14"/>
    </row>
    <row r="40" spans="3:22" x14ac:dyDescent="0.2">
      <c r="C40" s="13"/>
      <c r="D40" s="19"/>
      <c r="E40" s="782"/>
      <c r="F40" s="798"/>
      <c r="G40" s="799"/>
      <c r="H40" s="800"/>
      <c r="I40" s="702" t="s">
        <v>515</v>
      </c>
      <c r="J40" s="14"/>
      <c r="K40" s="805"/>
      <c r="L40" s="805"/>
      <c r="M40" s="805"/>
      <c r="N40" s="779"/>
      <c r="O40" s="779"/>
      <c r="P40" s="779"/>
      <c r="Q40" s="779"/>
      <c r="R40" s="791"/>
      <c r="S40" s="78"/>
      <c r="T40" s="110"/>
      <c r="U40" s="31"/>
      <c r="V40" s="14"/>
    </row>
    <row r="41" spans="3:22" x14ac:dyDescent="0.2">
      <c r="C41" s="13"/>
      <c r="D41" s="19"/>
      <c r="E41" s="783"/>
      <c r="F41" s="818"/>
      <c r="G41" s="819"/>
      <c r="H41" s="820"/>
      <c r="I41" s="702"/>
      <c r="J41" s="14"/>
      <c r="K41" s="808"/>
      <c r="L41" s="808"/>
      <c r="M41" s="808"/>
      <c r="N41" s="789"/>
      <c r="O41" s="789"/>
      <c r="P41" s="789"/>
      <c r="Q41" s="789"/>
      <c r="R41" s="792"/>
      <c r="S41" s="151" t="s">
        <v>87</v>
      </c>
      <c r="T41" s="109">
        <f>SUM(T37:T40)</f>
        <v>20000</v>
      </c>
      <c r="U41" s="31"/>
      <c r="V41" s="14"/>
    </row>
    <row r="42" spans="3:22" x14ac:dyDescent="0.2">
      <c r="C42" s="13"/>
      <c r="D42" s="19">
        <f>D37+1</f>
        <v>7</v>
      </c>
      <c r="E42" s="781" t="str">
        <f>'[4]ESC Cap Wks'!$A$78</f>
        <v>Plan for redevelopment of Council freehold land</v>
      </c>
      <c r="F42" s="821" t="s">
        <v>529</v>
      </c>
      <c r="G42" s="822"/>
      <c r="H42" s="823"/>
      <c r="I42" s="702" t="s">
        <v>514</v>
      </c>
      <c r="J42" s="14"/>
      <c r="K42" s="804">
        <v>1</v>
      </c>
      <c r="L42" s="804">
        <v>0</v>
      </c>
      <c r="M42" s="804">
        <v>0</v>
      </c>
      <c r="N42" s="778">
        <v>0</v>
      </c>
      <c r="O42" s="778">
        <v>0</v>
      </c>
      <c r="P42" s="778">
        <v>0</v>
      </c>
      <c r="Q42" s="778">
        <f>GETPIVOTDATA("Sum of 2017/18",'[4]ESC Cap Wks'!$A$3,"ACCOUNT NAME","Plan for redevelopment of Council freehold land","Statement of Capital Works - Asset Class","Land improvements","Statement of Capital Works - N/R/U","Asset upgrade expenditure")</f>
        <v>75505</v>
      </c>
      <c r="R42" s="790">
        <f>SUM(N42:Q46)</f>
        <v>75505</v>
      </c>
      <c r="S42" s="78" t="s">
        <v>111</v>
      </c>
      <c r="T42" s="110">
        <f>'[9]6. Detailed Capital Works'!$J$101*1000</f>
        <v>75505</v>
      </c>
      <c r="U42" s="31"/>
      <c r="V42" s="14"/>
    </row>
    <row r="43" spans="3:22" ht="12.75" customHeight="1" x14ac:dyDescent="0.2">
      <c r="C43" s="13"/>
      <c r="D43" s="19"/>
      <c r="E43" s="782"/>
      <c r="F43" s="798"/>
      <c r="G43" s="799"/>
      <c r="H43" s="800"/>
      <c r="I43" s="702" t="s">
        <v>525</v>
      </c>
      <c r="J43" s="14"/>
      <c r="K43" s="805"/>
      <c r="L43" s="805"/>
      <c r="M43" s="805"/>
      <c r="N43" s="779"/>
      <c r="O43" s="779"/>
      <c r="P43" s="779"/>
      <c r="Q43" s="779"/>
      <c r="R43" s="791"/>
      <c r="S43" s="78"/>
      <c r="T43" s="110"/>
      <c r="U43" s="31"/>
      <c r="V43" s="14"/>
    </row>
    <row r="44" spans="3:22" x14ac:dyDescent="0.2">
      <c r="C44" s="13"/>
      <c r="D44" s="19"/>
      <c r="E44" s="782"/>
      <c r="F44" s="798"/>
      <c r="G44" s="799"/>
      <c r="H44" s="800"/>
      <c r="I44" s="702"/>
      <c r="J44" s="14"/>
      <c r="K44" s="805"/>
      <c r="L44" s="805"/>
      <c r="M44" s="805"/>
      <c r="N44" s="779"/>
      <c r="O44" s="779"/>
      <c r="P44" s="779"/>
      <c r="Q44" s="779"/>
      <c r="R44" s="791"/>
      <c r="S44" s="78"/>
      <c r="T44" s="110"/>
      <c r="U44" s="31"/>
      <c r="V44" s="14"/>
    </row>
    <row r="45" spans="3:22" x14ac:dyDescent="0.2">
      <c r="C45" s="13"/>
      <c r="D45" s="19"/>
      <c r="E45" s="782"/>
      <c r="F45" s="798"/>
      <c r="G45" s="799"/>
      <c r="H45" s="800"/>
      <c r="I45" s="702"/>
      <c r="J45" s="14"/>
      <c r="K45" s="805"/>
      <c r="L45" s="805"/>
      <c r="M45" s="805"/>
      <c r="N45" s="779"/>
      <c r="O45" s="779"/>
      <c r="P45" s="779"/>
      <c r="Q45" s="779"/>
      <c r="R45" s="791"/>
      <c r="S45" s="78"/>
      <c r="T45" s="110"/>
      <c r="U45" s="31"/>
      <c r="V45" s="14"/>
    </row>
    <row r="46" spans="3:22" x14ac:dyDescent="0.2">
      <c r="C46" s="13"/>
      <c r="D46" s="19"/>
      <c r="E46" s="783"/>
      <c r="F46" s="818"/>
      <c r="G46" s="819"/>
      <c r="H46" s="820"/>
      <c r="I46" s="702"/>
      <c r="J46" s="14"/>
      <c r="K46" s="808"/>
      <c r="L46" s="808"/>
      <c r="M46" s="808"/>
      <c r="N46" s="789"/>
      <c r="O46" s="789"/>
      <c r="P46" s="789"/>
      <c r="Q46" s="789"/>
      <c r="R46" s="792"/>
      <c r="S46" s="151" t="s">
        <v>87</v>
      </c>
      <c r="T46" s="109">
        <f>SUM(T42:T45)</f>
        <v>75505</v>
      </c>
      <c r="U46" s="31"/>
      <c r="V46" s="14"/>
    </row>
    <row r="47" spans="3:22" x14ac:dyDescent="0.2">
      <c r="C47" s="13"/>
      <c r="D47" s="19">
        <f>D42+1</f>
        <v>8</v>
      </c>
      <c r="E47" s="781" t="str">
        <f>'[4]ESC Cap Wks'!$A$90</f>
        <v>Council Contribution to Point Lonsdale Tennis Club lighting</v>
      </c>
      <c r="F47" s="821" t="s">
        <v>530</v>
      </c>
      <c r="G47" s="810"/>
      <c r="H47" s="811"/>
      <c r="I47" s="702" t="s">
        <v>516</v>
      </c>
      <c r="J47" s="14"/>
      <c r="K47" s="804">
        <v>0</v>
      </c>
      <c r="L47" s="804">
        <v>0</v>
      </c>
      <c r="M47" s="804">
        <v>1</v>
      </c>
      <c r="N47" s="778">
        <v>0</v>
      </c>
      <c r="O47" s="778">
        <f>GETPIVOTDATA("Sum of 2017/18",'[4]ESC Cap Wks'!$A$3,"ACCOUNT NAME","Council Contribution to Point Lonsdale Tennis Club lighting","Statement of Capital Works - Asset Class","Other infrastructure","Statement of Capital Works - N/R/U","Asset renewal expenditure")</f>
        <v>30000</v>
      </c>
      <c r="P47" s="778">
        <v>0</v>
      </c>
      <c r="Q47" s="778">
        <v>0</v>
      </c>
      <c r="R47" s="790">
        <f>SUM(N47:Q51)</f>
        <v>30000</v>
      </c>
      <c r="S47" s="78" t="s">
        <v>363</v>
      </c>
      <c r="T47" s="110">
        <f>'[9]6. Detailed Capital Works'!$I$85*1000</f>
        <v>30000</v>
      </c>
      <c r="U47" s="31"/>
      <c r="V47" s="14"/>
    </row>
    <row r="48" spans="3:22" ht="12.75" customHeight="1" x14ac:dyDescent="0.2">
      <c r="C48" s="13"/>
      <c r="D48" s="19"/>
      <c r="E48" s="782"/>
      <c r="F48" s="812"/>
      <c r="G48" s="813"/>
      <c r="H48" s="814"/>
      <c r="I48" s="702" t="s">
        <v>515</v>
      </c>
      <c r="J48" s="14"/>
      <c r="K48" s="805"/>
      <c r="L48" s="805"/>
      <c r="M48" s="805"/>
      <c r="N48" s="779"/>
      <c r="O48" s="779"/>
      <c r="P48" s="779"/>
      <c r="Q48" s="779"/>
      <c r="R48" s="791"/>
      <c r="S48" s="78"/>
      <c r="T48" s="110"/>
      <c r="U48" s="31"/>
      <c r="V48" s="14"/>
    </row>
    <row r="49" spans="3:22" x14ac:dyDescent="0.2">
      <c r="C49" s="13"/>
      <c r="D49" s="19"/>
      <c r="E49" s="782"/>
      <c r="F49" s="812"/>
      <c r="G49" s="813"/>
      <c r="H49" s="814"/>
      <c r="I49" s="702"/>
      <c r="J49" s="14"/>
      <c r="K49" s="805"/>
      <c r="L49" s="805"/>
      <c r="M49" s="805"/>
      <c r="N49" s="779"/>
      <c r="O49" s="779"/>
      <c r="P49" s="779"/>
      <c r="Q49" s="779"/>
      <c r="R49" s="791"/>
      <c r="S49" s="78"/>
      <c r="T49" s="110"/>
      <c r="U49" s="31"/>
      <c r="V49" s="14"/>
    </row>
    <row r="50" spans="3:22" x14ac:dyDescent="0.2">
      <c r="C50" s="13"/>
      <c r="D50" s="19"/>
      <c r="E50" s="782"/>
      <c r="F50" s="812"/>
      <c r="G50" s="813"/>
      <c r="H50" s="814"/>
      <c r="I50" s="702"/>
      <c r="J50" s="14"/>
      <c r="K50" s="805"/>
      <c r="L50" s="805"/>
      <c r="M50" s="805"/>
      <c r="N50" s="779"/>
      <c r="O50" s="779"/>
      <c r="P50" s="779"/>
      <c r="Q50" s="779"/>
      <c r="R50" s="791"/>
      <c r="S50" s="78"/>
      <c r="T50" s="110"/>
      <c r="U50" s="31"/>
      <c r="V50" s="14"/>
    </row>
    <row r="51" spans="3:22" x14ac:dyDescent="0.2">
      <c r="C51" s="13"/>
      <c r="D51" s="19"/>
      <c r="E51" s="783"/>
      <c r="F51" s="824"/>
      <c r="G51" s="825"/>
      <c r="H51" s="826"/>
      <c r="I51" s="702"/>
      <c r="J51" s="14"/>
      <c r="K51" s="808"/>
      <c r="L51" s="808"/>
      <c r="M51" s="808"/>
      <c r="N51" s="789"/>
      <c r="O51" s="789"/>
      <c r="P51" s="789"/>
      <c r="Q51" s="789"/>
      <c r="R51" s="792"/>
      <c r="S51" s="151" t="s">
        <v>87</v>
      </c>
      <c r="T51" s="109">
        <f>SUM(T47:T50)</f>
        <v>30000</v>
      </c>
      <c r="U51" s="31"/>
      <c r="V51" s="14"/>
    </row>
    <row r="52" spans="3:22" x14ac:dyDescent="0.2">
      <c r="C52" s="13"/>
      <c r="D52" s="19">
        <f>D47+1</f>
        <v>9</v>
      </c>
      <c r="E52" s="781" t="str">
        <f>'[4]ESC Cap Wks'!$A$92</f>
        <v>Towns entry and main road tourism signage plan</v>
      </c>
      <c r="F52" s="821" t="s">
        <v>531</v>
      </c>
      <c r="G52" s="810"/>
      <c r="H52" s="811"/>
      <c r="I52" s="702" t="s">
        <v>519</v>
      </c>
      <c r="J52" s="14"/>
      <c r="K52" s="804">
        <v>0</v>
      </c>
      <c r="L52" s="804">
        <v>0</v>
      </c>
      <c r="M52" s="804">
        <v>1</v>
      </c>
      <c r="N52" s="778">
        <v>0</v>
      </c>
      <c r="O52" s="778">
        <f>GETPIVOTDATA("Sum of 2017/18",'[4]ESC Cap Wks'!$A$3,"ACCOUNT NAME","Towns entry and main road tourism signage plan","Statement of Capital Works - Asset Class","Other infrastructure","Statement of Capital Works - N/R/U","Asset renewal expenditure")</f>
        <v>18647.07</v>
      </c>
      <c r="P52" s="778">
        <v>0</v>
      </c>
      <c r="Q52" s="778">
        <v>0</v>
      </c>
      <c r="R52" s="790">
        <f>SUM(N52:Q56)</f>
        <v>18647.07</v>
      </c>
      <c r="S52" s="78" t="s">
        <v>363</v>
      </c>
      <c r="T52" s="110">
        <f>'[9]6. Detailed Capital Works'!$I$86*1000</f>
        <v>5000</v>
      </c>
      <c r="U52" s="31"/>
      <c r="V52" s="14"/>
    </row>
    <row r="53" spans="3:22" ht="12.75" customHeight="1" x14ac:dyDescent="0.2">
      <c r="C53" s="13"/>
      <c r="D53" s="19"/>
      <c r="E53" s="782"/>
      <c r="F53" s="812"/>
      <c r="G53" s="813"/>
      <c r="H53" s="814"/>
      <c r="I53" s="702"/>
      <c r="J53" s="14"/>
      <c r="K53" s="805"/>
      <c r="L53" s="805"/>
      <c r="M53" s="805"/>
      <c r="N53" s="779"/>
      <c r="O53" s="779"/>
      <c r="P53" s="779"/>
      <c r="Q53" s="779"/>
      <c r="R53" s="791"/>
      <c r="S53" s="78" t="s">
        <v>111</v>
      </c>
      <c r="T53" s="110">
        <f>'[9]6. Detailed Capital Works'!$J$142*1000</f>
        <v>13647.07</v>
      </c>
      <c r="U53" s="31"/>
      <c r="V53" s="14"/>
    </row>
    <row r="54" spans="3:22" ht="12.75" customHeight="1" x14ac:dyDescent="0.2">
      <c r="C54" s="13"/>
      <c r="D54" s="19"/>
      <c r="E54" s="782"/>
      <c r="F54" s="812"/>
      <c r="G54" s="813"/>
      <c r="H54" s="814"/>
      <c r="I54" s="702"/>
      <c r="J54" s="14"/>
      <c r="K54" s="805"/>
      <c r="L54" s="805"/>
      <c r="M54" s="805"/>
      <c r="N54" s="779"/>
      <c r="O54" s="779"/>
      <c r="P54" s="779"/>
      <c r="Q54" s="779"/>
      <c r="R54" s="791"/>
      <c r="S54" s="78"/>
      <c r="T54" s="110"/>
      <c r="U54" s="31"/>
      <c r="V54" s="14"/>
    </row>
    <row r="55" spans="3:22" ht="12.75" customHeight="1" x14ac:dyDescent="0.2">
      <c r="C55" s="13"/>
      <c r="D55" s="19"/>
      <c r="E55" s="782"/>
      <c r="F55" s="812"/>
      <c r="G55" s="813"/>
      <c r="H55" s="814"/>
      <c r="I55" s="702"/>
      <c r="J55" s="14"/>
      <c r="K55" s="805"/>
      <c r="L55" s="805"/>
      <c r="M55" s="805"/>
      <c r="N55" s="779"/>
      <c r="O55" s="779"/>
      <c r="P55" s="779"/>
      <c r="Q55" s="779"/>
      <c r="R55" s="791"/>
      <c r="S55" s="78"/>
      <c r="T55" s="110"/>
      <c r="U55" s="31"/>
      <c r="V55" s="14"/>
    </row>
    <row r="56" spans="3:22" ht="12.75" customHeight="1" x14ac:dyDescent="0.2">
      <c r="C56" s="13"/>
      <c r="D56" s="19"/>
      <c r="E56" s="783"/>
      <c r="F56" s="824"/>
      <c r="G56" s="825"/>
      <c r="H56" s="826"/>
      <c r="I56" s="702"/>
      <c r="J56" s="14"/>
      <c r="K56" s="808"/>
      <c r="L56" s="808"/>
      <c r="M56" s="808"/>
      <c r="N56" s="789"/>
      <c r="O56" s="789"/>
      <c r="P56" s="789"/>
      <c r="Q56" s="789"/>
      <c r="R56" s="792"/>
      <c r="S56" s="151" t="s">
        <v>87</v>
      </c>
      <c r="T56" s="109">
        <f>SUM(T52:T55)</f>
        <v>18647.07</v>
      </c>
      <c r="U56" s="31"/>
      <c r="V56" s="14"/>
    </row>
    <row r="57" spans="3:22" ht="12.75" customHeight="1" x14ac:dyDescent="0.2">
      <c r="C57" s="13"/>
      <c r="D57" s="19">
        <f>D52+1</f>
        <v>10</v>
      </c>
      <c r="E57" s="781" t="str">
        <f>'[4]ESC Cap Wks'!$A$95</f>
        <v>Plan for enhancing alternate power supply</v>
      </c>
      <c r="F57" s="821" t="s">
        <v>532</v>
      </c>
      <c r="G57" s="822"/>
      <c r="H57" s="823"/>
      <c r="I57" s="702" t="s">
        <v>525</v>
      </c>
      <c r="J57" s="14"/>
      <c r="K57" s="804">
        <v>0</v>
      </c>
      <c r="L57" s="804">
        <v>0</v>
      </c>
      <c r="M57" s="804">
        <v>1</v>
      </c>
      <c r="N57" s="778">
        <v>0</v>
      </c>
      <c r="O57" s="778">
        <v>0</v>
      </c>
      <c r="P57" s="778">
        <v>0</v>
      </c>
      <c r="Q57" s="778">
        <f>GETPIVOTDATA("Sum of 2017/18",'[4]ESC Cap Wks'!$A$3,"ACCOUNT NAME","Plan for enhancing alternate power supply","Statement of Capital Works - Asset Class","Other infrastructure","Statement of Capital Works - N/R/U","Asset upgrade expenditure")</f>
        <v>15000</v>
      </c>
      <c r="R57" s="790">
        <f>SUM(N57:Q61)</f>
        <v>15000</v>
      </c>
      <c r="S57" s="78" t="s">
        <v>111</v>
      </c>
      <c r="T57" s="110">
        <f>'[9]6. Detailed Capital Works'!$J$84*1000</f>
        <v>15000</v>
      </c>
      <c r="U57" s="31"/>
      <c r="V57" s="14"/>
    </row>
    <row r="58" spans="3:22" ht="12.75" customHeight="1" x14ac:dyDescent="0.2">
      <c r="C58" s="13"/>
      <c r="D58" s="19"/>
      <c r="E58" s="782"/>
      <c r="F58" s="798"/>
      <c r="G58" s="799"/>
      <c r="H58" s="800"/>
      <c r="I58" s="702" t="s">
        <v>533</v>
      </c>
      <c r="J58" s="14"/>
      <c r="K58" s="805"/>
      <c r="L58" s="805"/>
      <c r="M58" s="805"/>
      <c r="N58" s="779"/>
      <c r="O58" s="779"/>
      <c r="P58" s="779"/>
      <c r="Q58" s="779"/>
      <c r="R58" s="791"/>
      <c r="S58" s="78"/>
      <c r="T58" s="110"/>
      <c r="U58" s="31"/>
      <c r="V58" s="14"/>
    </row>
    <row r="59" spans="3:22" ht="12.75" customHeight="1" x14ac:dyDescent="0.2">
      <c r="C59" s="13"/>
      <c r="D59" s="19"/>
      <c r="E59" s="782"/>
      <c r="F59" s="798"/>
      <c r="G59" s="799"/>
      <c r="H59" s="800"/>
      <c r="I59" s="702"/>
      <c r="J59" s="14"/>
      <c r="K59" s="805"/>
      <c r="L59" s="805"/>
      <c r="M59" s="805"/>
      <c r="N59" s="779"/>
      <c r="O59" s="779"/>
      <c r="P59" s="779"/>
      <c r="Q59" s="779"/>
      <c r="R59" s="791"/>
      <c r="S59" s="78"/>
      <c r="T59" s="110"/>
      <c r="U59" s="31"/>
      <c r="V59" s="14"/>
    </row>
    <row r="60" spans="3:22" ht="12.75" customHeight="1" x14ac:dyDescent="0.2">
      <c r="C60" s="13"/>
      <c r="D60" s="19"/>
      <c r="E60" s="782"/>
      <c r="F60" s="798"/>
      <c r="G60" s="799"/>
      <c r="H60" s="800"/>
      <c r="I60" s="702"/>
      <c r="J60" s="14"/>
      <c r="K60" s="805"/>
      <c r="L60" s="805"/>
      <c r="M60" s="805"/>
      <c r="N60" s="779"/>
      <c r="O60" s="779"/>
      <c r="P60" s="779"/>
      <c r="Q60" s="779"/>
      <c r="R60" s="791"/>
      <c r="S60" s="78"/>
      <c r="T60" s="110"/>
      <c r="U60" s="31"/>
      <c r="V60" s="14"/>
    </row>
    <row r="61" spans="3:22" ht="12.75" customHeight="1" x14ac:dyDescent="0.2">
      <c r="C61" s="13"/>
      <c r="D61" s="19"/>
      <c r="E61" s="794"/>
      <c r="F61" s="801"/>
      <c r="G61" s="802"/>
      <c r="H61" s="803"/>
      <c r="I61" s="703"/>
      <c r="J61" s="14"/>
      <c r="K61" s="806"/>
      <c r="L61" s="806"/>
      <c r="M61" s="806"/>
      <c r="N61" s="780"/>
      <c r="O61" s="780"/>
      <c r="P61" s="780"/>
      <c r="Q61" s="780"/>
      <c r="R61" s="807"/>
      <c r="S61" s="122" t="s">
        <v>87</v>
      </c>
      <c r="T61" s="123">
        <f>SUM(T57:T60)</f>
        <v>15000</v>
      </c>
      <c r="U61" s="31"/>
      <c r="V61" s="14"/>
    </row>
    <row r="62" spans="3:22" ht="12.75" customHeight="1" x14ac:dyDescent="0.2">
      <c r="C62" s="13"/>
      <c r="D62" s="19">
        <f>D57+1</f>
        <v>11</v>
      </c>
      <c r="E62" s="793" t="str">
        <f>'[4]ESC Cap Wks'!$A$96</f>
        <v>Street Signs Upgrade</v>
      </c>
      <c r="F62" s="795" t="s">
        <v>534</v>
      </c>
      <c r="G62" s="796"/>
      <c r="H62" s="797"/>
      <c r="I62" s="702" t="s">
        <v>514</v>
      </c>
      <c r="J62" s="14"/>
      <c r="K62" s="804">
        <v>0</v>
      </c>
      <c r="L62" s="804">
        <v>0</v>
      </c>
      <c r="M62" s="804">
        <v>1</v>
      </c>
      <c r="N62" s="778">
        <v>0</v>
      </c>
      <c r="O62" s="778">
        <v>0</v>
      </c>
      <c r="P62" s="778">
        <v>0</v>
      </c>
      <c r="Q62" s="778">
        <f>GETPIVOTDATA("Sum of 2017/18",'[4]ESC Cap Wks'!$A$3,"ACCOUNT NAME","Street Signs Upgrade","Statement of Capital Works - Asset Class","Other infrastructure","Statement of Capital Works - N/R/U","Asset upgrade expenditure")</f>
        <v>5000</v>
      </c>
      <c r="R62" s="790">
        <f>SUM(N62:Q66)</f>
        <v>5000</v>
      </c>
      <c r="S62" s="78" t="s">
        <v>111</v>
      </c>
      <c r="T62" s="110">
        <f>'[9]6. Detailed Capital Works'!$J$143*1000</f>
        <v>5000</v>
      </c>
      <c r="U62" s="31"/>
      <c r="V62" s="14"/>
    </row>
    <row r="63" spans="3:22" ht="12.75" customHeight="1" x14ac:dyDescent="0.2">
      <c r="C63" s="13"/>
      <c r="D63" s="19"/>
      <c r="E63" s="782"/>
      <c r="F63" s="798"/>
      <c r="G63" s="799"/>
      <c r="H63" s="800"/>
      <c r="I63" s="702" t="s">
        <v>519</v>
      </c>
      <c r="J63" s="14"/>
      <c r="K63" s="805"/>
      <c r="L63" s="805"/>
      <c r="M63" s="805"/>
      <c r="N63" s="779"/>
      <c r="O63" s="779"/>
      <c r="P63" s="779"/>
      <c r="Q63" s="779"/>
      <c r="R63" s="791"/>
      <c r="S63" s="78"/>
      <c r="T63" s="110"/>
      <c r="U63" s="31"/>
      <c r="V63" s="14"/>
    </row>
    <row r="64" spans="3:22" ht="12.75" customHeight="1" x14ac:dyDescent="0.2">
      <c r="C64" s="13"/>
      <c r="D64" s="19"/>
      <c r="E64" s="782"/>
      <c r="F64" s="798"/>
      <c r="G64" s="799"/>
      <c r="H64" s="800"/>
      <c r="I64" s="702"/>
      <c r="J64" s="14"/>
      <c r="K64" s="805"/>
      <c r="L64" s="805"/>
      <c r="M64" s="805"/>
      <c r="N64" s="779"/>
      <c r="O64" s="779"/>
      <c r="P64" s="779"/>
      <c r="Q64" s="779"/>
      <c r="R64" s="791"/>
      <c r="S64" s="78"/>
      <c r="T64" s="110"/>
      <c r="U64" s="31"/>
      <c r="V64" s="14"/>
    </row>
    <row r="65" spans="3:22" ht="12.75" customHeight="1" x14ac:dyDescent="0.2">
      <c r="C65" s="13"/>
      <c r="D65" s="19"/>
      <c r="E65" s="782"/>
      <c r="F65" s="798"/>
      <c r="G65" s="799"/>
      <c r="H65" s="800"/>
      <c r="I65" s="702"/>
      <c r="J65" s="14"/>
      <c r="K65" s="805"/>
      <c r="L65" s="805"/>
      <c r="M65" s="805"/>
      <c r="N65" s="779"/>
      <c r="O65" s="779"/>
      <c r="P65" s="779"/>
      <c r="Q65" s="779"/>
      <c r="R65" s="791"/>
      <c r="S65" s="78"/>
      <c r="T65" s="110"/>
      <c r="U65" s="31"/>
      <c r="V65" s="14"/>
    </row>
    <row r="66" spans="3:22" ht="12.75" customHeight="1" x14ac:dyDescent="0.2">
      <c r="C66" s="13"/>
      <c r="D66" s="19"/>
      <c r="E66" s="794"/>
      <c r="F66" s="801"/>
      <c r="G66" s="802"/>
      <c r="H66" s="803"/>
      <c r="I66" s="703"/>
      <c r="J66" s="14"/>
      <c r="K66" s="806"/>
      <c r="L66" s="806"/>
      <c r="M66" s="806"/>
      <c r="N66" s="780"/>
      <c r="O66" s="780"/>
      <c r="P66" s="780"/>
      <c r="Q66" s="780"/>
      <c r="R66" s="807"/>
      <c r="S66" s="122" t="s">
        <v>87</v>
      </c>
      <c r="T66" s="123">
        <f>SUM(T62:T65)</f>
        <v>5000</v>
      </c>
      <c r="U66" s="31"/>
      <c r="V66" s="14"/>
    </row>
    <row r="67" spans="3:22" ht="12.75" customHeight="1" x14ac:dyDescent="0.2">
      <c r="C67" s="13"/>
      <c r="D67" s="19">
        <f>D62+1</f>
        <v>12</v>
      </c>
      <c r="E67" s="781" t="str">
        <f>'[4]ESC Cap Wks'!$A$106</f>
        <v>King Street Bus Stop</v>
      </c>
      <c r="F67" s="795" t="s">
        <v>535</v>
      </c>
      <c r="G67" s="796"/>
      <c r="H67" s="797"/>
      <c r="I67" s="702" t="s">
        <v>516</v>
      </c>
      <c r="J67" s="14"/>
      <c r="K67" s="804">
        <v>0</v>
      </c>
      <c r="L67" s="804">
        <v>0</v>
      </c>
      <c r="M67" s="804">
        <v>1</v>
      </c>
      <c r="N67" s="778">
        <f>GETPIVOTDATA("Sum of 2017/18",'[4]ESC Cap Wks'!$A$3,"ACCOUNT NAME","King Street Bus Stop","Statement of Capital Works - Asset Class","Other infrastructure","Statement of Capital Works - N/R/U","New asset expenditure")</f>
        <v>30000</v>
      </c>
      <c r="O67" s="778">
        <v>0</v>
      </c>
      <c r="P67" s="778">
        <v>0</v>
      </c>
      <c r="Q67" s="778">
        <v>0</v>
      </c>
      <c r="R67" s="790">
        <f>SUM(N67:Q71)</f>
        <v>30000</v>
      </c>
      <c r="S67" s="78" t="s">
        <v>108</v>
      </c>
      <c r="T67" s="110">
        <f>'[9]6. Detailed Capital Works'!$G$141*1000</f>
        <v>10000</v>
      </c>
      <c r="U67" s="31"/>
      <c r="V67" s="14"/>
    </row>
    <row r="68" spans="3:22" ht="12.75" customHeight="1" x14ac:dyDescent="0.2">
      <c r="C68" s="13"/>
      <c r="D68" s="19"/>
      <c r="E68" s="782"/>
      <c r="F68" s="798"/>
      <c r="G68" s="799"/>
      <c r="H68" s="800"/>
      <c r="I68" s="702" t="s">
        <v>525</v>
      </c>
      <c r="J68" s="14"/>
      <c r="K68" s="805"/>
      <c r="L68" s="805"/>
      <c r="M68" s="805"/>
      <c r="N68" s="779"/>
      <c r="O68" s="779"/>
      <c r="P68" s="779"/>
      <c r="Q68" s="779"/>
      <c r="R68" s="791"/>
      <c r="S68" s="78" t="s">
        <v>111</v>
      </c>
      <c r="T68" s="110">
        <f>'[9]6. Detailed Capital Works'!$J$141*1000</f>
        <v>10000</v>
      </c>
      <c r="U68" s="31"/>
      <c r="V68" s="14"/>
    </row>
    <row r="69" spans="3:22" ht="12.75" customHeight="1" x14ac:dyDescent="0.2">
      <c r="C69" s="13"/>
      <c r="D69" s="19"/>
      <c r="E69" s="782"/>
      <c r="F69" s="798"/>
      <c r="G69" s="799"/>
      <c r="H69" s="800"/>
      <c r="I69" s="702" t="s">
        <v>528</v>
      </c>
      <c r="J69" s="14"/>
      <c r="K69" s="805"/>
      <c r="L69" s="805"/>
      <c r="M69" s="805"/>
      <c r="N69" s="779"/>
      <c r="O69" s="779"/>
      <c r="P69" s="779"/>
      <c r="Q69" s="779"/>
      <c r="R69" s="791"/>
      <c r="S69" s="78" t="s">
        <v>363</v>
      </c>
      <c r="T69" s="110">
        <f>'[9]6. Detailed Capital Works'!$I$141*1000</f>
        <v>10000</v>
      </c>
      <c r="U69" s="31"/>
      <c r="V69" s="14"/>
    </row>
    <row r="70" spans="3:22" ht="12.75" customHeight="1" x14ac:dyDescent="0.2">
      <c r="C70" s="13"/>
      <c r="D70" s="19"/>
      <c r="E70" s="782"/>
      <c r="F70" s="798"/>
      <c r="G70" s="799"/>
      <c r="H70" s="800"/>
      <c r="I70" s="702" t="s">
        <v>519</v>
      </c>
      <c r="J70" s="14"/>
      <c r="K70" s="805"/>
      <c r="L70" s="805"/>
      <c r="M70" s="805"/>
      <c r="N70" s="779"/>
      <c r="O70" s="779"/>
      <c r="P70" s="779"/>
      <c r="Q70" s="779"/>
      <c r="R70" s="791"/>
      <c r="S70" s="78"/>
      <c r="T70" s="110"/>
      <c r="U70" s="31"/>
      <c r="V70" s="14"/>
    </row>
    <row r="71" spans="3:22" ht="12.75" customHeight="1" x14ac:dyDescent="0.2">
      <c r="C71" s="13"/>
      <c r="D71" s="19"/>
      <c r="E71" s="794"/>
      <c r="F71" s="801"/>
      <c r="G71" s="802"/>
      <c r="H71" s="803"/>
      <c r="I71" s="703"/>
      <c r="J71" s="14"/>
      <c r="K71" s="806"/>
      <c r="L71" s="806"/>
      <c r="M71" s="806"/>
      <c r="N71" s="780"/>
      <c r="O71" s="780"/>
      <c r="P71" s="780"/>
      <c r="Q71" s="780"/>
      <c r="R71" s="807"/>
      <c r="S71" s="122" t="s">
        <v>87</v>
      </c>
      <c r="T71" s="123">
        <f>SUM(T67:T70)</f>
        <v>30000</v>
      </c>
      <c r="U71" s="31"/>
      <c r="V71" s="14"/>
    </row>
    <row r="72" spans="3:22" ht="12.75" customHeight="1" x14ac:dyDescent="0.2">
      <c r="C72" s="13"/>
      <c r="D72" s="19">
        <f>D67+1</f>
        <v>13</v>
      </c>
      <c r="E72" s="781" t="str">
        <f>'[4]ESC Cap Wks'!$A$107</f>
        <v>Streetlight Replacement to LED</v>
      </c>
      <c r="F72" s="795" t="s">
        <v>536</v>
      </c>
      <c r="G72" s="796"/>
      <c r="H72" s="797"/>
      <c r="I72" s="702" t="s">
        <v>525</v>
      </c>
      <c r="J72" s="14"/>
      <c r="K72" s="804">
        <v>0</v>
      </c>
      <c r="L72" s="804">
        <v>0</v>
      </c>
      <c r="M72" s="804">
        <v>1</v>
      </c>
      <c r="N72" s="778">
        <f>GETPIVOTDATA("Sum of 2017/18",'[4]ESC Cap Wks'!$A$3,"ACCOUNT NAME","Streetlight Replacement to LED","Statement of Capital Works - Asset Class","Other infrastructure","Statement of Capital Works - N/R/U","New asset expenditure")</f>
        <v>186000</v>
      </c>
      <c r="O72" s="778">
        <v>0</v>
      </c>
      <c r="P72" s="778">
        <v>0</v>
      </c>
      <c r="Q72" s="778">
        <v>0</v>
      </c>
      <c r="R72" s="790">
        <f>SUM(N72:Q76)</f>
        <v>186000</v>
      </c>
      <c r="S72" s="78" t="s">
        <v>443</v>
      </c>
      <c r="T72" s="110">
        <f>'[9]6. Detailed Capital Works'!$K$140*1000</f>
        <v>177434.52</v>
      </c>
      <c r="U72" s="31"/>
      <c r="V72" s="14"/>
    </row>
    <row r="73" spans="3:22" ht="12.75" customHeight="1" x14ac:dyDescent="0.2">
      <c r="C73" s="13"/>
      <c r="D73" s="19"/>
      <c r="E73" s="782"/>
      <c r="F73" s="798"/>
      <c r="G73" s="799"/>
      <c r="H73" s="800"/>
      <c r="I73" s="702" t="s">
        <v>537</v>
      </c>
      <c r="J73" s="14"/>
      <c r="K73" s="805"/>
      <c r="L73" s="805"/>
      <c r="M73" s="805"/>
      <c r="N73" s="779"/>
      <c r="O73" s="779"/>
      <c r="P73" s="779"/>
      <c r="Q73" s="779"/>
      <c r="R73" s="791"/>
      <c r="S73" s="78" t="s">
        <v>111</v>
      </c>
      <c r="T73" s="110">
        <f>'[9]6. Detailed Capital Works'!$J$140*1000</f>
        <v>8565.48</v>
      </c>
      <c r="U73" s="31"/>
      <c r="V73" s="14"/>
    </row>
    <row r="74" spans="3:22" ht="12.75" customHeight="1" x14ac:dyDescent="0.2">
      <c r="C74" s="13"/>
      <c r="D74" s="19"/>
      <c r="E74" s="782"/>
      <c r="F74" s="798"/>
      <c r="G74" s="799"/>
      <c r="H74" s="800"/>
      <c r="I74" s="702" t="s">
        <v>533</v>
      </c>
      <c r="J74" s="14"/>
      <c r="K74" s="805"/>
      <c r="L74" s="805"/>
      <c r="M74" s="805"/>
      <c r="N74" s="779"/>
      <c r="O74" s="779"/>
      <c r="P74" s="779"/>
      <c r="Q74" s="779"/>
      <c r="R74" s="791"/>
      <c r="S74" s="78"/>
      <c r="T74" s="110"/>
      <c r="U74" s="31"/>
      <c r="V74" s="14"/>
    </row>
    <row r="75" spans="3:22" ht="12.75" customHeight="1" x14ac:dyDescent="0.2">
      <c r="C75" s="13"/>
      <c r="D75" s="19"/>
      <c r="E75" s="782"/>
      <c r="F75" s="798"/>
      <c r="G75" s="799"/>
      <c r="H75" s="800"/>
      <c r="I75" s="702" t="s">
        <v>538</v>
      </c>
      <c r="J75" s="14"/>
      <c r="K75" s="805"/>
      <c r="L75" s="805"/>
      <c r="M75" s="805"/>
      <c r="N75" s="779"/>
      <c r="O75" s="779"/>
      <c r="P75" s="779"/>
      <c r="Q75" s="779"/>
      <c r="R75" s="791"/>
      <c r="S75" s="78"/>
      <c r="T75" s="110"/>
      <c r="U75" s="31"/>
      <c r="V75" s="14"/>
    </row>
    <row r="76" spans="3:22" ht="12.75" customHeight="1" x14ac:dyDescent="0.2">
      <c r="C76" s="13"/>
      <c r="D76" s="19"/>
      <c r="E76" s="794"/>
      <c r="F76" s="801"/>
      <c r="G76" s="802"/>
      <c r="H76" s="803"/>
      <c r="I76" s="703"/>
      <c r="J76" s="14"/>
      <c r="K76" s="806"/>
      <c r="L76" s="806"/>
      <c r="M76" s="806"/>
      <c r="N76" s="780"/>
      <c r="O76" s="780"/>
      <c r="P76" s="780"/>
      <c r="Q76" s="780"/>
      <c r="R76" s="807"/>
      <c r="S76" s="122" t="s">
        <v>87</v>
      </c>
      <c r="T76" s="123">
        <f>SUM(T72:T75)</f>
        <v>186000</v>
      </c>
      <c r="U76" s="31"/>
      <c r="V76" s="14"/>
    </row>
    <row r="77" spans="3:22" ht="12.75" customHeight="1" x14ac:dyDescent="0.2">
      <c r="C77" s="13"/>
      <c r="D77" s="19">
        <f>D72+1</f>
        <v>14</v>
      </c>
      <c r="E77" s="793" t="str">
        <f>'[4]ESC Cap Wks'!$A$112</f>
        <v>Destination Queenscliffe Stage 1</v>
      </c>
      <c r="F77" s="795" t="s">
        <v>539</v>
      </c>
      <c r="G77" s="796"/>
      <c r="H77" s="797"/>
      <c r="I77" s="702" t="s">
        <v>519</v>
      </c>
      <c r="J77" s="14"/>
      <c r="K77" s="804">
        <v>0</v>
      </c>
      <c r="L77" s="804">
        <v>0</v>
      </c>
      <c r="M77" s="804">
        <v>1</v>
      </c>
      <c r="N77" s="778">
        <f>0.3*GETPIVOTDATA("Sum of 2017/18",'[4]ESC Cap Wks'!$A$3,"ACCOUNT NAME","Destination Queenscliffe Stage 1","Statement of Capital Works - Asset Class","Parks, open space and streetscapes","Statement of Capital Works - N/R/U","60% renewal, 10% upgrade, 30% new")</f>
        <v>104685.3</v>
      </c>
      <c r="O77" s="778">
        <f>0.6*GETPIVOTDATA("Sum of 2017/18",'[4]ESC Cap Wks'!$A$3,"ACCOUNT NAME","Destination Queenscliffe Stage 1","Statement of Capital Works - Asset Class","Parks, open space and streetscapes","Statement of Capital Works - N/R/U","60% renewal, 10% upgrade, 30% new")</f>
        <v>209370.6</v>
      </c>
      <c r="P77" s="778">
        <v>0</v>
      </c>
      <c r="Q77" s="778">
        <f>0.1*GETPIVOTDATA("Sum of 2017/18",'[4]ESC Cap Wks'!$A$3,"ACCOUNT NAME","Destination Queenscliffe Stage 1","Statement of Capital Works - Asset Class","Parks, open space and streetscapes","Statement of Capital Works - N/R/U","60% renewal, 10% upgrade, 30% new")</f>
        <v>34895.1</v>
      </c>
      <c r="R77" s="790">
        <f>SUM(N77:Q81)</f>
        <v>348951</v>
      </c>
      <c r="S77" s="78" t="s">
        <v>108</v>
      </c>
      <c r="T77" s="110">
        <f>'[9]6. Detailed Capital Works'!$G$75*1000</f>
        <v>348951</v>
      </c>
      <c r="U77" s="31"/>
      <c r="V77" s="14"/>
    </row>
    <row r="78" spans="3:22" ht="12.75" customHeight="1" x14ac:dyDescent="0.2">
      <c r="C78" s="13"/>
      <c r="D78" s="19"/>
      <c r="E78" s="782"/>
      <c r="F78" s="798"/>
      <c r="G78" s="799"/>
      <c r="H78" s="800"/>
      <c r="I78" s="702" t="s">
        <v>516</v>
      </c>
      <c r="J78" s="14"/>
      <c r="K78" s="805"/>
      <c r="L78" s="805"/>
      <c r="M78" s="805"/>
      <c r="N78" s="779"/>
      <c r="O78" s="779"/>
      <c r="P78" s="779"/>
      <c r="Q78" s="779"/>
      <c r="R78" s="791"/>
      <c r="S78" s="78"/>
      <c r="T78" s="110"/>
      <c r="U78" s="31"/>
      <c r="V78" s="14"/>
    </row>
    <row r="79" spans="3:22" ht="12.75" customHeight="1" x14ac:dyDescent="0.2">
      <c r="C79" s="13"/>
      <c r="D79" s="19"/>
      <c r="E79" s="782"/>
      <c r="F79" s="798"/>
      <c r="G79" s="799"/>
      <c r="H79" s="800"/>
      <c r="I79" s="702" t="s">
        <v>514</v>
      </c>
      <c r="J79" s="14"/>
      <c r="K79" s="805"/>
      <c r="L79" s="805"/>
      <c r="M79" s="805"/>
      <c r="N79" s="779"/>
      <c r="O79" s="779"/>
      <c r="P79" s="779"/>
      <c r="Q79" s="779"/>
      <c r="R79" s="791"/>
      <c r="S79" s="78"/>
      <c r="T79" s="110"/>
      <c r="U79" s="31"/>
      <c r="V79" s="14"/>
    </row>
    <row r="80" spans="3:22" ht="12.75" customHeight="1" x14ac:dyDescent="0.2">
      <c r="C80" s="13"/>
      <c r="D80" s="19"/>
      <c r="E80" s="782"/>
      <c r="F80" s="798"/>
      <c r="G80" s="799"/>
      <c r="H80" s="800"/>
      <c r="I80" s="702" t="s">
        <v>515</v>
      </c>
      <c r="J80" s="14"/>
      <c r="K80" s="805"/>
      <c r="L80" s="805"/>
      <c r="M80" s="805"/>
      <c r="N80" s="779"/>
      <c r="O80" s="779"/>
      <c r="P80" s="779"/>
      <c r="Q80" s="779"/>
      <c r="R80" s="791"/>
      <c r="S80" s="78"/>
      <c r="T80" s="110"/>
      <c r="U80" s="31"/>
      <c r="V80" s="14"/>
    </row>
    <row r="81" spans="3:22" ht="12.75" customHeight="1" x14ac:dyDescent="0.2">
      <c r="C81" s="13"/>
      <c r="D81" s="19"/>
      <c r="E81" s="794"/>
      <c r="F81" s="801"/>
      <c r="G81" s="802"/>
      <c r="H81" s="803"/>
      <c r="I81" s="703" t="s">
        <v>533</v>
      </c>
      <c r="J81" s="14"/>
      <c r="K81" s="806"/>
      <c r="L81" s="806"/>
      <c r="M81" s="806"/>
      <c r="N81" s="780"/>
      <c r="O81" s="780"/>
      <c r="P81" s="780"/>
      <c r="Q81" s="780"/>
      <c r="R81" s="807"/>
      <c r="S81" s="122" t="s">
        <v>87</v>
      </c>
      <c r="T81" s="123">
        <f>SUM(T77:T80)</f>
        <v>348951</v>
      </c>
      <c r="U81" s="31"/>
      <c r="V81" s="14"/>
    </row>
    <row r="82" spans="3:22" ht="12.75" customHeight="1" x14ac:dyDescent="0.2">
      <c r="C82" s="13"/>
      <c r="D82" s="19">
        <f>D77+1</f>
        <v>15</v>
      </c>
      <c r="E82" s="781" t="str">
        <f>'[4]ESC Cap Wks'!$A$120</f>
        <v>Point Lonsdale Lighthouse Reserve</v>
      </c>
      <c r="F82" s="795" t="s">
        <v>540</v>
      </c>
      <c r="G82" s="796"/>
      <c r="H82" s="797"/>
      <c r="I82" s="702" t="s">
        <v>516</v>
      </c>
      <c r="J82" s="14"/>
      <c r="K82" s="804">
        <v>0</v>
      </c>
      <c r="L82" s="804">
        <v>0</v>
      </c>
      <c r="M82" s="804">
        <v>1</v>
      </c>
      <c r="N82" s="778">
        <f>GETPIVOTDATA("Sum of 2017/18",'[4]ESC Cap Wks'!$A$3,"ACCOUNT NAME","Point Lonsdale Lighthouse Reserve","Statement of Capital Works - Asset Class","Parks, open space and streetscapes","Statement of Capital Works - N/R/U","New asset expenditure")</f>
        <v>375000</v>
      </c>
      <c r="O82" s="778">
        <v>0</v>
      </c>
      <c r="P82" s="778">
        <v>0</v>
      </c>
      <c r="Q82" s="778">
        <v>0</v>
      </c>
      <c r="R82" s="790">
        <f>SUM(N82:Q86)</f>
        <v>375000</v>
      </c>
      <c r="S82" s="78" t="s">
        <v>108</v>
      </c>
      <c r="T82" s="110">
        <f>'[9]6. Detailed Capital Works'!$G$76*1000</f>
        <v>300000</v>
      </c>
      <c r="U82" s="31"/>
      <c r="V82" s="14"/>
    </row>
    <row r="83" spans="3:22" ht="12.75" customHeight="1" x14ac:dyDescent="0.2">
      <c r="C83" s="13"/>
      <c r="D83" s="19"/>
      <c r="E83" s="782"/>
      <c r="F83" s="798"/>
      <c r="G83" s="799"/>
      <c r="H83" s="800"/>
      <c r="I83" s="702" t="s">
        <v>525</v>
      </c>
      <c r="J83" s="14"/>
      <c r="K83" s="805"/>
      <c r="L83" s="805"/>
      <c r="M83" s="805"/>
      <c r="N83" s="779"/>
      <c r="O83" s="779"/>
      <c r="P83" s="779"/>
      <c r="Q83" s="779"/>
      <c r="R83" s="791"/>
      <c r="S83" s="78" t="s">
        <v>363</v>
      </c>
      <c r="T83" s="110">
        <f>'[9]6. Detailed Capital Works'!$I$76*1000</f>
        <v>75000</v>
      </c>
      <c r="U83" s="31"/>
      <c r="V83" s="14"/>
    </row>
    <row r="84" spans="3:22" ht="12.75" customHeight="1" x14ac:dyDescent="0.2">
      <c r="C84" s="13"/>
      <c r="D84" s="19"/>
      <c r="E84" s="782"/>
      <c r="F84" s="798"/>
      <c r="G84" s="799"/>
      <c r="H84" s="800"/>
      <c r="I84" s="702" t="s">
        <v>514</v>
      </c>
      <c r="J84" s="14"/>
      <c r="K84" s="805"/>
      <c r="L84" s="805"/>
      <c r="M84" s="805"/>
      <c r="N84" s="779"/>
      <c r="O84" s="779"/>
      <c r="P84" s="779"/>
      <c r="Q84" s="779"/>
      <c r="R84" s="791"/>
      <c r="S84" s="78"/>
      <c r="T84" s="110"/>
      <c r="U84" s="31"/>
      <c r="V84" s="14"/>
    </row>
    <row r="85" spans="3:22" ht="12.75" customHeight="1" x14ac:dyDescent="0.2">
      <c r="C85" s="13"/>
      <c r="D85" s="19"/>
      <c r="E85" s="782"/>
      <c r="F85" s="798"/>
      <c r="G85" s="799"/>
      <c r="H85" s="800"/>
      <c r="I85" s="702" t="s">
        <v>515</v>
      </c>
      <c r="J85" s="14"/>
      <c r="K85" s="805"/>
      <c r="L85" s="805"/>
      <c r="M85" s="805"/>
      <c r="N85" s="779"/>
      <c r="O85" s="779"/>
      <c r="P85" s="779"/>
      <c r="Q85" s="779"/>
      <c r="R85" s="791"/>
      <c r="S85" s="78"/>
      <c r="T85" s="110"/>
      <c r="U85" s="31"/>
      <c r="V85" s="14"/>
    </row>
    <row r="86" spans="3:22" ht="12.75" customHeight="1" x14ac:dyDescent="0.2">
      <c r="C86" s="13"/>
      <c r="D86" s="19"/>
      <c r="E86" s="794"/>
      <c r="F86" s="801"/>
      <c r="G86" s="802"/>
      <c r="H86" s="803"/>
      <c r="I86" s="703"/>
      <c r="J86" s="14"/>
      <c r="K86" s="806"/>
      <c r="L86" s="806"/>
      <c r="M86" s="806"/>
      <c r="N86" s="780"/>
      <c r="O86" s="780"/>
      <c r="P86" s="780"/>
      <c r="Q86" s="780"/>
      <c r="R86" s="807"/>
      <c r="S86" s="122" t="s">
        <v>87</v>
      </c>
      <c r="T86" s="123">
        <f>SUM(T82:T85)</f>
        <v>375000</v>
      </c>
      <c r="U86" s="31"/>
      <c r="V86" s="14"/>
    </row>
    <row r="87" spans="3:22" ht="12.75" customHeight="1" x14ac:dyDescent="0.2">
      <c r="C87" s="13"/>
      <c r="D87" s="19">
        <f>D82+1</f>
        <v>16</v>
      </c>
      <c r="E87" s="781" t="str">
        <f>'[4]ESC Cap Wks'!$A$123</f>
        <v>Queenscliff Park Stage 1 Improvements</v>
      </c>
      <c r="F87" s="795" t="s">
        <v>541</v>
      </c>
      <c r="G87" s="796"/>
      <c r="H87" s="797"/>
      <c r="I87" s="702" t="s">
        <v>516</v>
      </c>
      <c r="J87" s="14"/>
      <c r="K87" s="804">
        <v>0</v>
      </c>
      <c r="L87" s="804">
        <v>0</v>
      </c>
      <c r="M87" s="804">
        <v>1</v>
      </c>
      <c r="N87" s="778">
        <f>GETPIVOTDATA("Sum of 2017/18",'[4]ESC Cap Wks'!$A$3,"ACCOUNT NAME","Queenscliff Park Stage 1 Improvements","Statement of Capital Works - Asset Class","Parks, open space and streetscapes","Statement of Capital Works - N/R/U","New asset expenditure")</f>
        <v>179765</v>
      </c>
      <c r="O87" s="778">
        <v>0</v>
      </c>
      <c r="P87" s="778">
        <v>0</v>
      </c>
      <c r="Q87" s="778">
        <v>0</v>
      </c>
      <c r="R87" s="790">
        <f>SUM(N87:Q91)</f>
        <v>179765</v>
      </c>
      <c r="S87" s="78" t="s">
        <v>111</v>
      </c>
      <c r="T87" s="110">
        <f>'[9]6. Detailed Capital Works'!$J$136*1000</f>
        <v>179765</v>
      </c>
      <c r="U87" s="31"/>
      <c r="V87" s="14"/>
    </row>
    <row r="88" spans="3:22" ht="12.75" customHeight="1" x14ac:dyDescent="0.2">
      <c r="C88" s="13"/>
      <c r="D88" s="19"/>
      <c r="E88" s="782"/>
      <c r="F88" s="798"/>
      <c r="G88" s="799"/>
      <c r="H88" s="800"/>
      <c r="I88" s="702" t="s">
        <v>515</v>
      </c>
      <c r="J88" s="14"/>
      <c r="K88" s="805"/>
      <c r="L88" s="805"/>
      <c r="M88" s="805"/>
      <c r="N88" s="779"/>
      <c r="O88" s="779"/>
      <c r="P88" s="779"/>
      <c r="Q88" s="779"/>
      <c r="R88" s="791"/>
      <c r="S88" s="78"/>
      <c r="T88" s="110"/>
      <c r="U88" s="31"/>
      <c r="V88" s="14"/>
    </row>
    <row r="89" spans="3:22" ht="12.75" customHeight="1" x14ac:dyDescent="0.2">
      <c r="C89" s="13"/>
      <c r="D89" s="19"/>
      <c r="E89" s="782"/>
      <c r="F89" s="798"/>
      <c r="G89" s="799"/>
      <c r="H89" s="800"/>
      <c r="I89" s="702" t="s">
        <v>519</v>
      </c>
      <c r="J89" s="14"/>
      <c r="K89" s="805"/>
      <c r="L89" s="805"/>
      <c r="M89" s="805"/>
      <c r="N89" s="779"/>
      <c r="O89" s="779"/>
      <c r="P89" s="779"/>
      <c r="Q89" s="779"/>
      <c r="R89" s="791"/>
      <c r="S89" s="78"/>
      <c r="T89" s="110"/>
      <c r="U89" s="31"/>
      <c r="V89" s="14"/>
    </row>
    <row r="90" spans="3:22" ht="12.75" customHeight="1" x14ac:dyDescent="0.2">
      <c r="C90" s="13"/>
      <c r="D90" s="19"/>
      <c r="E90" s="782"/>
      <c r="F90" s="798"/>
      <c r="G90" s="799"/>
      <c r="H90" s="800"/>
      <c r="I90" s="702"/>
      <c r="J90" s="14"/>
      <c r="K90" s="805"/>
      <c r="L90" s="805"/>
      <c r="M90" s="805"/>
      <c r="N90" s="779"/>
      <c r="O90" s="779"/>
      <c r="P90" s="779"/>
      <c r="Q90" s="779"/>
      <c r="R90" s="791"/>
      <c r="S90" s="78"/>
      <c r="T90" s="110"/>
      <c r="U90" s="31"/>
      <c r="V90" s="14"/>
    </row>
    <row r="91" spans="3:22" ht="12.75" customHeight="1" x14ac:dyDescent="0.2">
      <c r="C91" s="13"/>
      <c r="D91" s="19"/>
      <c r="E91" s="794"/>
      <c r="F91" s="801"/>
      <c r="G91" s="802"/>
      <c r="H91" s="803"/>
      <c r="I91" s="703"/>
      <c r="J91" s="14"/>
      <c r="K91" s="806"/>
      <c r="L91" s="806"/>
      <c r="M91" s="806"/>
      <c r="N91" s="780"/>
      <c r="O91" s="780"/>
      <c r="P91" s="780"/>
      <c r="Q91" s="780"/>
      <c r="R91" s="807"/>
      <c r="S91" s="122" t="s">
        <v>87</v>
      </c>
      <c r="T91" s="123">
        <f>SUM(T87:T90)</f>
        <v>179765</v>
      </c>
      <c r="U91" s="31"/>
      <c r="V91" s="14"/>
    </row>
    <row r="92" spans="3:22" ht="12.75" customHeight="1" x14ac:dyDescent="0.2">
      <c r="C92" s="13"/>
      <c r="D92" s="19">
        <f>D87+1</f>
        <v>17</v>
      </c>
      <c r="E92" s="793" t="str">
        <f>'[4]ESC Cap Wks'!$A$139</f>
        <v>Plan for park to focus on children and families</v>
      </c>
      <c r="F92" s="795" t="s">
        <v>542</v>
      </c>
      <c r="G92" s="796"/>
      <c r="H92" s="797"/>
      <c r="I92" s="702" t="s">
        <v>516</v>
      </c>
      <c r="J92" s="14"/>
      <c r="K92" s="804">
        <v>0</v>
      </c>
      <c r="L92" s="804">
        <v>0</v>
      </c>
      <c r="M92" s="804">
        <v>1</v>
      </c>
      <c r="N92" s="778">
        <v>0</v>
      </c>
      <c r="O92" s="778">
        <v>0</v>
      </c>
      <c r="P92" s="778">
        <v>0</v>
      </c>
      <c r="Q92" s="778">
        <f>GETPIVOTDATA("Sum of 2017/18",'[4]ESC Cap Wks'!$A$3,"ACCOUNT NAME","Plan for park to focus on children and families","Statement of Capital Works - Asset Class","Recreational, leisure and community facilities","Statement of Capital Works - N/R/U","Asset upgrade expenditure")</f>
        <v>40000</v>
      </c>
      <c r="R92" s="790">
        <f>SUM(N92:Q96)</f>
        <v>40000</v>
      </c>
      <c r="S92" s="78" t="s">
        <v>363</v>
      </c>
      <c r="T92" s="110">
        <f>'[9]6. Detailed Capital Works'!$I$67*1000</f>
        <v>40000</v>
      </c>
      <c r="U92" s="31"/>
      <c r="V92" s="14"/>
    </row>
    <row r="93" spans="3:22" ht="12.75" customHeight="1" x14ac:dyDescent="0.2">
      <c r="C93" s="13"/>
      <c r="D93" s="19"/>
      <c r="E93" s="782"/>
      <c r="F93" s="798"/>
      <c r="G93" s="799"/>
      <c r="H93" s="800"/>
      <c r="I93" s="702" t="s">
        <v>515</v>
      </c>
      <c r="J93" s="14"/>
      <c r="K93" s="805"/>
      <c r="L93" s="805"/>
      <c r="M93" s="805"/>
      <c r="N93" s="779"/>
      <c r="O93" s="779"/>
      <c r="P93" s="779"/>
      <c r="Q93" s="779"/>
      <c r="R93" s="791"/>
      <c r="S93" s="78"/>
      <c r="T93" s="110"/>
      <c r="U93" s="31"/>
      <c r="V93" s="14"/>
    </row>
    <row r="94" spans="3:22" ht="12.75" customHeight="1" x14ac:dyDescent="0.2">
      <c r="C94" s="13"/>
      <c r="D94" s="19"/>
      <c r="E94" s="782"/>
      <c r="F94" s="798"/>
      <c r="G94" s="799"/>
      <c r="H94" s="800"/>
      <c r="I94" s="702" t="s">
        <v>519</v>
      </c>
      <c r="J94" s="14"/>
      <c r="K94" s="805"/>
      <c r="L94" s="805"/>
      <c r="M94" s="805"/>
      <c r="N94" s="779"/>
      <c r="O94" s="779"/>
      <c r="P94" s="779"/>
      <c r="Q94" s="779"/>
      <c r="R94" s="791"/>
      <c r="S94" s="78"/>
      <c r="T94" s="110"/>
      <c r="U94" s="31"/>
      <c r="V94" s="14"/>
    </row>
    <row r="95" spans="3:22" ht="12.75" customHeight="1" x14ac:dyDescent="0.2">
      <c r="C95" s="13"/>
      <c r="D95" s="19"/>
      <c r="E95" s="782"/>
      <c r="F95" s="798"/>
      <c r="G95" s="799"/>
      <c r="H95" s="800"/>
      <c r="I95" s="702"/>
      <c r="J95" s="14"/>
      <c r="K95" s="805"/>
      <c r="L95" s="805"/>
      <c r="M95" s="805"/>
      <c r="N95" s="779"/>
      <c r="O95" s="779"/>
      <c r="P95" s="779"/>
      <c r="Q95" s="779"/>
      <c r="R95" s="791"/>
      <c r="S95" s="78"/>
      <c r="T95" s="110"/>
      <c r="U95" s="31"/>
      <c r="V95" s="14"/>
    </row>
    <row r="96" spans="3:22" ht="12.75" customHeight="1" x14ac:dyDescent="0.2">
      <c r="C96" s="13"/>
      <c r="D96" s="19"/>
      <c r="E96" s="794"/>
      <c r="F96" s="801"/>
      <c r="G96" s="802"/>
      <c r="H96" s="803"/>
      <c r="I96" s="703"/>
      <c r="J96" s="14"/>
      <c r="K96" s="806"/>
      <c r="L96" s="806"/>
      <c r="M96" s="806"/>
      <c r="N96" s="780"/>
      <c r="O96" s="780"/>
      <c r="P96" s="780"/>
      <c r="Q96" s="780"/>
      <c r="R96" s="807"/>
      <c r="S96" s="122" t="s">
        <v>87</v>
      </c>
      <c r="T96" s="123">
        <f>SUM(T92:T95)</f>
        <v>40000</v>
      </c>
      <c r="U96" s="31"/>
      <c r="V96" s="14"/>
    </row>
    <row r="97" spans="3:22" ht="12.75" customHeight="1" x14ac:dyDescent="0.2">
      <c r="C97" s="13"/>
      <c r="D97" s="19">
        <f>D92+1</f>
        <v>18</v>
      </c>
      <c r="E97" s="793" t="str">
        <f>'[4]ESC Cap Wks'!$A$154</f>
        <v>Replace Kerb &amp; Channel in Hobson Street</v>
      </c>
      <c r="F97" s="795" t="s">
        <v>543</v>
      </c>
      <c r="G97" s="796"/>
      <c r="H97" s="797"/>
      <c r="I97" s="702" t="s">
        <v>514</v>
      </c>
      <c r="J97" s="14"/>
      <c r="K97" s="804">
        <v>0</v>
      </c>
      <c r="L97" s="804">
        <v>0</v>
      </c>
      <c r="M97" s="804">
        <v>1</v>
      </c>
      <c r="N97" s="778">
        <v>0</v>
      </c>
      <c r="O97" s="778">
        <f>GETPIVOTDATA("Sum of 2017/18",'[4]ESC Cap Wks'!$A$3,"ACCOUNT NAME","Replace Kerb &amp; Channel in Hobson Street","Statement of Capital Works - Asset Class","Roads","Statement of Capital Works - N/R/U","Asset renewal expenditure")</f>
        <v>5000</v>
      </c>
      <c r="P97" s="778">
        <v>0</v>
      </c>
      <c r="Q97" s="778">
        <v>0</v>
      </c>
      <c r="R97" s="790">
        <f>SUM(N97:Q101)</f>
        <v>5000</v>
      </c>
      <c r="S97" s="78" t="s">
        <v>111</v>
      </c>
      <c r="T97" s="110">
        <f>'[9]6. Detailed Capital Works'!$J$47*1000</f>
        <v>5000</v>
      </c>
      <c r="U97" s="31"/>
      <c r="V97" s="14"/>
    </row>
    <row r="98" spans="3:22" ht="12.75" customHeight="1" x14ac:dyDescent="0.2">
      <c r="C98" s="13"/>
      <c r="D98" s="19"/>
      <c r="E98" s="782"/>
      <c r="F98" s="798"/>
      <c r="G98" s="799"/>
      <c r="H98" s="800"/>
      <c r="I98" s="702"/>
      <c r="J98" s="14"/>
      <c r="K98" s="805"/>
      <c r="L98" s="805"/>
      <c r="M98" s="805"/>
      <c r="N98" s="779"/>
      <c r="O98" s="779"/>
      <c r="P98" s="779"/>
      <c r="Q98" s="779"/>
      <c r="R98" s="791"/>
      <c r="S98" s="78"/>
      <c r="T98" s="110"/>
      <c r="U98" s="31"/>
      <c r="V98" s="14"/>
    </row>
    <row r="99" spans="3:22" ht="12.75" customHeight="1" x14ac:dyDescent="0.2">
      <c r="C99" s="13"/>
      <c r="D99" s="19"/>
      <c r="E99" s="782"/>
      <c r="F99" s="798"/>
      <c r="G99" s="799"/>
      <c r="H99" s="800"/>
      <c r="I99" s="702"/>
      <c r="J99" s="14"/>
      <c r="K99" s="805"/>
      <c r="L99" s="805"/>
      <c r="M99" s="805"/>
      <c r="N99" s="779"/>
      <c r="O99" s="779"/>
      <c r="P99" s="779"/>
      <c r="Q99" s="779"/>
      <c r="R99" s="791"/>
      <c r="S99" s="78"/>
      <c r="T99" s="110"/>
      <c r="U99" s="31"/>
      <c r="V99" s="14"/>
    </row>
    <row r="100" spans="3:22" ht="12.75" customHeight="1" x14ac:dyDescent="0.2">
      <c r="C100" s="13"/>
      <c r="D100" s="19"/>
      <c r="E100" s="782"/>
      <c r="F100" s="798"/>
      <c r="G100" s="799"/>
      <c r="H100" s="800"/>
      <c r="I100" s="702"/>
      <c r="J100" s="14"/>
      <c r="K100" s="805"/>
      <c r="L100" s="805"/>
      <c r="M100" s="805"/>
      <c r="N100" s="779"/>
      <c r="O100" s="779"/>
      <c r="P100" s="779"/>
      <c r="Q100" s="779"/>
      <c r="R100" s="791"/>
      <c r="S100" s="78"/>
      <c r="T100" s="110"/>
      <c r="U100" s="31"/>
      <c r="V100" s="14"/>
    </row>
    <row r="101" spans="3:22" ht="12.75" customHeight="1" x14ac:dyDescent="0.2">
      <c r="C101" s="13"/>
      <c r="D101" s="19"/>
      <c r="E101" s="794"/>
      <c r="F101" s="801"/>
      <c r="G101" s="802"/>
      <c r="H101" s="803"/>
      <c r="I101" s="703"/>
      <c r="J101" s="14"/>
      <c r="K101" s="806"/>
      <c r="L101" s="806"/>
      <c r="M101" s="806"/>
      <c r="N101" s="780"/>
      <c r="O101" s="780"/>
      <c r="P101" s="780"/>
      <c r="Q101" s="780"/>
      <c r="R101" s="807"/>
      <c r="S101" s="122" t="s">
        <v>87</v>
      </c>
      <c r="T101" s="123">
        <f>SUM(T97:T100)</f>
        <v>5000</v>
      </c>
      <c r="U101" s="31"/>
      <c r="V101" s="14"/>
    </row>
    <row r="102" spans="3:22" ht="12.75" customHeight="1" x14ac:dyDescent="0.2">
      <c r="C102" s="13"/>
      <c r="D102" s="19">
        <f>D97+1</f>
        <v>19</v>
      </c>
      <c r="E102" s="793" t="str">
        <f>'[4]ESC Cap Wks'!$A$156</f>
        <v>Hesse Street Streetscape</v>
      </c>
      <c r="F102" s="795" t="s">
        <v>544</v>
      </c>
      <c r="G102" s="796"/>
      <c r="H102" s="797"/>
      <c r="I102" s="702" t="s">
        <v>519</v>
      </c>
      <c r="J102" s="14"/>
      <c r="K102" s="804">
        <v>0</v>
      </c>
      <c r="L102" s="804">
        <v>0</v>
      </c>
      <c r="M102" s="804">
        <v>1</v>
      </c>
      <c r="N102" s="778">
        <v>0</v>
      </c>
      <c r="O102" s="778">
        <v>0</v>
      </c>
      <c r="P102" s="778">
        <v>0</v>
      </c>
      <c r="Q102" s="778">
        <f>GETPIVOTDATA("Sum of 2017/18",'[4]ESC Cap Wks'!$A$3,"ACCOUNT NAME","Hesse Street Streetscape","Statement of Capital Works - Asset Class","Roads","Statement of Capital Works - N/R/U","Asset upgrade expenditure")</f>
        <v>40000</v>
      </c>
      <c r="R102" s="790">
        <f>SUM(N102:Q106)</f>
        <v>40000</v>
      </c>
      <c r="S102" s="78" t="s">
        <v>363</v>
      </c>
      <c r="T102" s="110">
        <f>'[9]6. Detailed Capital Works'!$I$45*1000</f>
        <v>40000</v>
      </c>
      <c r="U102" s="31"/>
      <c r="V102" s="14"/>
    </row>
    <row r="103" spans="3:22" ht="12.75" customHeight="1" x14ac:dyDescent="0.2">
      <c r="C103" s="13"/>
      <c r="D103" s="19"/>
      <c r="E103" s="782"/>
      <c r="F103" s="798"/>
      <c r="G103" s="799"/>
      <c r="H103" s="800"/>
      <c r="I103" s="702" t="s">
        <v>514</v>
      </c>
      <c r="J103" s="14"/>
      <c r="K103" s="805"/>
      <c r="L103" s="805"/>
      <c r="M103" s="805"/>
      <c r="N103" s="779"/>
      <c r="O103" s="779"/>
      <c r="P103" s="779"/>
      <c r="Q103" s="779"/>
      <c r="R103" s="791"/>
      <c r="S103" s="78"/>
      <c r="T103" s="110"/>
      <c r="U103" s="31"/>
      <c r="V103" s="14"/>
    </row>
    <row r="104" spans="3:22" ht="12.75" customHeight="1" x14ac:dyDescent="0.2">
      <c r="C104" s="13"/>
      <c r="D104" s="19"/>
      <c r="E104" s="782"/>
      <c r="F104" s="798"/>
      <c r="G104" s="799"/>
      <c r="H104" s="800"/>
      <c r="I104" s="702" t="s">
        <v>515</v>
      </c>
      <c r="J104" s="14"/>
      <c r="K104" s="805"/>
      <c r="L104" s="805"/>
      <c r="M104" s="805"/>
      <c r="N104" s="779"/>
      <c r="O104" s="779"/>
      <c r="P104" s="779"/>
      <c r="Q104" s="779"/>
      <c r="R104" s="791"/>
      <c r="S104" s="78"/>
      <c r="T104" s="110"/>
      <c r="U104" s="31"/>
      <c r="V104" s="14"/>
    </row>
    <row r="105" spans="3:22" ht="12.75" customHeight="1" x14ac:dyDescent="0.2">
      <c r="C105" s="13"/>
      <c r="D105" s="19"/>
      <c r="E105" s="782"/>
      <c r="F105" s="798"/>
      <c r="G105" s="799"/>
      <c r="H105" s="800"/>
      <c r="I105" s="702"/>
      <c r="J105" s="14"/>
      <c r="K105" s="805"/>
      <c r="L105" s="805"/>
      <c r="M105" s="805"/>
      <c r="N105" s="779"/>
      <c r="O105" s="779"/>
      <c r="P105" s="779"/>
      <c r="Q105" s="779"/>
      <c r="R105" s="791"/>
      <c r="S105" s="78"/>
      <c r="T105" s="110"/>
      <c r="U105" s="31"/>
      <c r="V105" s="14"/>
    </row>
    <row r="106" spans="3:22" ht="12.75" customHeight="1" x14ac:dyDescent="0.2">
      <c r="C106" s="13"/>
      <c r="D106" s="19"/>
      <c r="E106" s="794"/>
      <c r="F106" s="801"/>
      <c r="G106" s="802"/>
      <c r="H106" s="803"/>
      <c r="I106" s="703"/>
      <c r="J106" s="14"/>
      <c r="K106" s="806"/>
      <c r="L106" s="806"/>
      <c r="M106" s="806"/>
      <c r="N106" s="780"/>
      <c r="O106" s="780"/>
      <c r="P106" s="780"/>
      <c r="Q106" s="780"/>
      <c r="R106" s="807"/>
      <c r="S106" s="122" t="s">
        <v>87</v>
      </c>
      <c r="T106" s="123">
        <f>SUM(T102:T105)</f>
        <v>40000</v>
      </c>
      <c r="U106" s="31"/>
      <c r="V106" s="14"/>
    </row>
    <row r="107" spans="3:22" ht="12.75" customHeight="1" x14ac:dyDescent="0.2">
      <c r="C107" s="13"/>
      <c r="D107" s="19">
        <f>D102+1</f>
        <v>20</v>
      </c>
      <c r="E107" s="793" t="str">
        <f>'[4]ESC Cap Wks'!$A$158</f>
        <v>Construction of School Crossing - St. Aloysius Primary School</v>
      </c>
      <c r="F107" s="795" t="s">
        <v>545</v>
      </c>
      <c r="G107" s="796"/>
      <c r="H107" s="797"/>
      <c r="I107" s="702" t="s">
        <v>538</v>
      </c>
      <c r="J107" s="14"/>
      <c r="K107" s="804">
        <v>0</v>
      </c>
      <c r="L107" s="804">
        <v>0</v>
      </c>
      <c r="M107" s="804">
        <v>1</v>
      </c>
      <c r="N107" s="778">
        <f>GETPIVOTDATA("Sum of 2017/18",'[4]ESC Cap Wks'!$A$3,"ACCOUNT NAME","Construction of School Crossing - St. Aloysius Primary School","Statement of Capital Works - Asset Class","Roads","Statement of Capital Works - N/R/U","New asset expenditure")</f>
        <v>15000</v>
      </c>
      <c r="O107" s="778">
        <v>0</v>
      </c>
      <c r="P107" s="778">
        <v>0</v>
      </c>
      <c r="Q107" s="778">
        <v>0</v>
      </c>
      <c r="R107" s="790">
        <f>SUM(N107:Q111)</f>
        <v>15000</v>
      </c>
      <c r="S107" s="78" t="s">
        <v>363</v>
      </c>
      <c r="T107" s="110">
        <f>'[9]6. Detailed Capital Works'!$I$46*1000</f>
        <v>15000</v>
      </c>
      <c r="U107" s="31"/>
      <c r="V107" s="14"/>
    </row>
    <row r="108" spans="3:22" ht="12.75" customHeight="1" x14ac:dyDescent="0.2">
      <c r="C108" s="13"/>
      <c r="D108" s="19"/>
      <c r="E108" s="782"/>
      <c r="F108" s="798"/>
      <c r="G108" s="799"/>
      <c r="H108" s="800"/>
      <c r="I108" s="702" t="s">
        <v>516</v>
      </c>
      <c r="J108" s="14"/>
      <c r="K108" s="805"/>
      <c r="L108" s="805"/>
      <c r="M108" s="805"/>
      <c r="N108" s="779"/>
      <c r="O108" s="779"/>
      <c r="P108" s="779"/>
      <c r="Q108" s="779"/>
      <c r="R108" s="791"/>
      <c r="S108" s="78"/>
      <c r="T108" s="110"/>
      <c r="U108" s="31"/>
      <c r="V108" s="14"/>
    </row>
    <row r="109" spans="3:22" ht="12.75" customHeight="1" x14ac:dyDescent="0.2">
      <c r="C109" s="13"/>
      <c r="D109" s="19"/>
      <c r="E109" s="782"/>
      <c r="F109" s="798"/>
      <c r="G109" s="799"/>
      <c r="H109" s="800"/>
      <c r="I109" s="702"/>
      <c r="J109" s="14"/>
      <c r="K109" s="805"/>
      <c r="L109" s="805"/>
      <c r="M109" s="805"/>
      <c r="N109" s="779"/>
      <c r="O109" s="779"/>
      <c r="P109" s="779"/>
      <c r="Q109" s="779"/>
      <c r="R109" s="791"/>
      <c r="S109" s="78"/>
      <c r="T109" s="110"/>
      <c r="U109" s="31"/>
      <c r="V109" s="14"/>
    </row>
    <row r="110" spans="3:22" ht="12.75" customHeight="1" x14ac:dyDescent="0.2">
      <c r="C110" s="13"/>
      <c r="D110" s="19"/>
      <c r="E110" s="782"/>
      <c r="F110" s="798"/>
      <c r="G110" s="799"/>
      <c r="H110" s="800"/>
      <c r="I110" s="702"/>
      <c r="J110" s="14"/>
      <c r="K110" s="805"/>
      <c r="L110" s="805"/>
      <c r="M110" s="805"/>
      <c r="N110" s="779"/>
      <c r="O110" s="779"/>
      <c r="P110" s="779"/>
      <c r="Q110" s="779"/>
      <c r="R110" s="791"/>
      <c r="S110" s="78"/>
      <c r="T110" s="110"/>
      <c r="U110" s="31"/>
      <c r="V110" s="14"/>
    </row>
    <row r="111" spans="3:22" ht="12.75" customHeight="1" x14ac:dyDescent="0.2">
      <c r="C111" s="13"/>
      <c r="D111" s="19"/>
      <c r="E111" s="794"/>
      <c r="F111" s="801"/>
      <c r="G111" s="802"/>
      <c r="H111" s="803"/>
      <c r="I111" s="703"/>
      <c r="J111" s="14"/>
      <c r="K111" s="806"/>
      <c r="L111" s="806"/>
      <c r="M111" s="806"/>
      <c r="N111" s="780"/>
      <c r="O111" s="780"/>
      <c r="P111" s="780"/>
      <c r="Q111" s="780"/>
      <c r="R111" s="807"/>
      <c r="S111" s="122" t="s">
        <v>87</v>
      </c>
      <c r="T111" s="123">
        <f>SUM(T107:T110)</f>
        <v>15000</v>
      </c>
      <c r="U111" s="31"/>
      <c r="V111" s="14"/>
    </row>
    <row r="112" spans="3:22" ht="12.75" customHeight="1" x14ac:dyDescent="0.2">
      <c r="C112" s="13"/>
      <c r="D112" s="19">
        <f>D107+1</f>
        <v>21</v>
      </c>
      <c r="E112" s="793" t="s">
        <v>504</v>
      </c>
      <c r="F112" s="795" t="s">
        <v>546</v>
      </c>
      <c r="G112" s="796"/>
      <c r="H112" s="797"/>
      <c r="I112" s="702" t="s">
        <v>514</v>
      </c>
      <c r="J112" s="14"/>
      <c r="K112" s="804">
        <v>1</v>
      </c>
      <c r="L112" s="804">
        <v>0</v>
      </c>
      <c r="M112" s="804">
        <v>0</v>
      </c>
      <c r="N112" s="778">
        <v>0</v>
      </c>
      <c r="O112" s="778">
        <f>SUM('[4]ESC Cap Wks'!$C$33:$C$36)</f>
        <v>215910.83000000002</v>
      </c>
      <c r="P112" s="778">
        <v>0</v>
      </c>
      <c r="Q112" s="778">
        <v>0</v>
      </c>
      <c r="R112" s="790">
        <f>SUM(N112:Q116)</f>
        <v>215910.83000000002</v>
      </c>
      <c r="S112" s="78" t="s">
        <v>363</v>
      </c>
      <c r="T112" s="110">
        <f>SUM('[9]6. Detailed Capital Works'!$I$9:$I$12)*1000</f>
        <v>75000</v>
      </c>
      <c r="U112" s="31"/>
      <c r="V112" s="14"/>
    </row>
    <row r="113" spans="3:22" ht="12.75" customHeight="1" x14ac:dyDescent="0.2">
      <c r="C113" s="13"/>
      <c r="D113" s="19"/>
      <c r="E113" s="782"/>
      <c r="F113" s="798"/>
      <c r="G113" s="799"/>
      <c r="H113" s="800"/>
      <c r="I113" s="702"/>
      <c r="J113" s="14"/>
      <c r="K113" s="805"/>
      <c r="L113" s="805"/>
      <c r="M113" s="805"/>
      <c r="N113" s="779"/>
      <c r="O113" s="779"/>
      <c r="P113" s="779"/>
      <c r="Q113" s="779"/>
      <c r="R113" s="791"/>
      <c r="S113" s="78" t="s">
        <v>111</v>
      </c>
      <c r="T113" s="110">
        <f>SUM('[9]6. Detailed Capital Works'!$J$105:$J$108)*1000</f>
        <v>140910.83000000002</v>
      </c>
      <c r="U113" s="31"/>
      <c r="V113" s="14"/>
    </row>
    <row r="114" spans="3:22" ht="12.75" customHeight="1" x14ac:dyDescent="0.2">
      <c r="C114" s="13"/>
      <c r="D114" s="19"/>
      <c r="E114" s="782"/>
      <c r="F114" s="798"/>
      <c r="G114" s="799"/>
      <c r="H114" s="800"/>
      <c r="I114" s="702"/>
      <c r="J114" s="14"/>
      <c r="K114" s="805"/>
      <c r="L114" s="805"/>
      <c r="M114" s="805"/>
      <c r="N114" s="779"/>
      <c r="O114" s="779"/>
      <c r="P114" s="779"/>
      <c r="Q114" s="779"/>
      <c r="R114" s="791"/>
      <c r="S114" s="78"/>
      <c r="T114" s="110"/>
      <c r="U114" s="31"/>
      <c r="V114" s="14"/>
    </row>
    <row r="115" spans="3:22" ht="12.75" customHeight="1" x14ac:dyDescent="0.2">
      <c r="C115" s="13"/>
      <c r="D115" s="19"/>
      <c r="E115" s="782"/>
      <c r="F115" s="798"/>
      <c r="G115" s="799"/>
      <c r="H115" s="800"/>
      <c r="I115" s="702"/>
      <c r="J115" s="14"/>
      <c r="K115" s="805"/>
      <c r="L115" s="805"/>
      <c r="M115" s="805"/>
      <c r="N115" s="779"/>
      <c r="O115" s="779"/>
      <c r="P115" s="779"/>
      <c r="Q115" s="779"/>
      <c r="R115" s="791"/>
      <c r="S115" s="78"/>
      <c r="T115" s="110"/>
      <c r="U115" s="31"/>
      <c r="V115" s="14"/>
    </row>
    <row r="116" spans="3:22" ht="12.75" customHeight="1" x14ac:dyDescent="0.2">
      <c r="C116" s="13"/>
      <c r="D116" s="19"/>
      <c r="E116" s="794"/>
      <c r="F116" s="801"/>
      <c r="G116" s="802"/>
      <c r="H116" s="803"/>
      <c r="I116" s="703"/>
      <c r="J116" s="14"/>
      <c r="K116" s="806"/>
      <c r="L116" s="806"/>
      <c r="M116" s="806"/>
      <c r="N116" s="780"/>
      <c r="O116" s="780"/>
      <c r="P116" s="780"/>
      <c r="Q116" s="780"/>
      <c r="R116" s="807"/>
      <c r="S116" s="122" t="s">
        <v>87</v>
      </c>
      <c r="T116" s="123">
        <f>SUM(T112:T115)</f>
        <v>215910.83000000002</v>
      </c>
      <c r="U116" s="31"/>
      <c r="V116" s="14"/>
    </row>
    <row r="117" spans="3:22" ht="12.75" customHeight="1" x14ac:dyDescent="0.2">
      <c r="C117" s="13"/>
      <c r="D117" s="19">
        <f>D112+1</f>
        <v>22</v>
      </c>
      <c r="E117" s="793" t="s">
        <v>505</v>
      </c>
      <c r="F117" s="795" t="s">
        <v>547</v>
      </c>
      <c r="G117" s="796"/>
      <c r="H117" s="797"/>
      <c r="I117" s="702" t="s">
        <v>514</v>
      </c>
      <c r="J117" s="14"/>
      <c r="K117" s="804">
        <v>0</v>
      </c>
      <c r="L117" s="804">
        <v>1</v>
      </c>
      <c r="M117" s="804">
        <v>0</v>
      </c>
      <c r="N117" s="778">
        <v>0</v>
      </c>
      <c r="O117" s="778">
        <f>GETPIVOTDATA("Sum of 2017/18",'[4]ESC Cap Wks'!$A$3,"ACCOUNT NAME","Annual Renewal Program - Renewal Other Assets - Renewal computer and telephone equipment","Statement of Capital Works - Asset Class","Computers and telecommunications","Statement of Capital Works - N/R/U","Asset renewal expenditure")</f>
        <v>30000</v>
      </c>
      <c r="P117" s="778">
        <v>0</v>
      </c>
      <c r="Q117" s="778">
        <v>0</v>
      </c>
      <c r="R117" s="790">
        <f>SUM(N117:Q121)</f>
        <v>30000</v>
      </c>
      <c r="S117" s="78" t="s">
        <v>363</v>
      </c>
      <c r="T117" s="110">
        <f>'[9]6. Detailed Capital Works'!$I$34*1000</f>
        <v>30000</v>
      </c>
      <c r="U117" s="31"/>
      <c r="V117" s="14"/>
    </row>
    <row r="118" spans="3:22" ht="12.75" customHeight="1" x14ac:dyDescent="0.2">
      <c r="C118" s="13"/>
      <c r="D118" s="19"/>
      <c r="E118" s="782"/>
      <c r="F118" s="798"/>
      <c r="G118" s="799"/>
      <c r="H118" s="800"/>
      <c r="I118" s="702"/>
      <c r="J118" s="14"/>
      <c r="K118" s="805"/>
      <c r="L118" s="805"/>
      <c r="M118" s="805"/>
      <c r="N118" s="779"/>
      <c r="O118" s="779"/>
      <c r="P118" s="779"/>
      <c r="Q118" s="779"/>
      <c r="R118" s="791"/>
      <c r="S118" s="78"/>
      <c r="T118" s="110"/>
      <c r="U118" s="31"/>
      <c r="V118" s="14"/>
    </row>
    <row r="119" spans="3:22" ht="12.75" customHeight="1" x14ac:dyDescent="0.2">
      <c r="C119" s="13"/>
      <c r="D119" s="19"/>
      <c r="E119" s="782"/>
      <c r="F119" s="798"/>
      <c r="G119" s="799"/>
      <c r="H119" s="800"/>
      <c r="I119" s="702"/>
      <c r="J119" s="14"/>
      <c r="K119" s="805"/>
      <c r="L119" s="805"/>
      <c r="M119" s="805"/>
      <c r="N119" s="779"/>
      <c r="O119" s="779"/>
      <c r="P119" s="779"/>
      <c r="Q119" s="779"/>
      <c r="R119" s="791"/>
      <c r="S119" s="78"/>
      <c r="T119" s="110"/>
      <c r="U119" s="31"/>
      <c r="V119" s="14"/>
    </row>
    <row r="120" spans="3:22" ht="12.75" customHeight="1" x14ac:dyDescent="0.2">
      <c r="C120" s="13"/>
      <c r="D120" s="19"/>
      <c r="E120" s="782"/>
      <c r="F120" s="798"/>
      <c r="G120" s="799"/>
      <c r="H120" s="800"/>
      <c r="I120" s="702"/>
      <c r="J120" s="14"/>
      <c r="K120" s="805"/>
      <c r="L120" s="805"/>
      <c r="M120" s="805"/>
      <c r="N120" s="779"/>
      <c r="O120" s="779"/>
      <c r="P120" s="779"/>
      <c r="Q120" s="779"/>
      <c r="R120" s="791"/>
      <c r="S120" s="78"/>
      <c r="T120" s="110"/>
      <c r="U120" s="31"/>
      <c r="V120" s="14"/>
    </row>
    <row r="121" spans="3:22" ht="12.75" customHeight="1" x14ac:dyDescent="0.2">
      <c r="C121" s="13"/>
      <c r="D121" s="19"/>
      <c r="E121" s="794"/>
      <c r="F121" s="801"/>
      <c r="G121" s="802"/>
      <c r="H121" s="803"/>
      <c r="I121" s="703"/>
      <c r="J121" s="14"/>
      <c r="K121" s="806"/>
      <c r="L121" s="806"/>
      <c r="M121" s="806"/>
      <c r="N121" s="780"/>
      <c r="O121" s="780"/>
      <c r="P121" s="780"/>
      <c r="Q121" s="780"/>
      <c r="R121" s="807"/>
      <c r="S121" s="122" t="s">
        <v>87</v>
      </c>
      <c r="T121" s="123">
        <f>SUM(T117:T120)</f>
        <v>30000</v>
      </c>
      <c r="U121" s="31"/>
      <c r="V121" s="14"/>
    </row>
    <row r="122" spans="3:22" ht="12.75" customHeight="1" x14ac:dyDescent="0.2">
      <c r="C122" s="13"/>
      <c r="D122" s="19">
        <f>D117+1</f>
        <v>23</v>
      </c>
      <c r="E122" s="793" t="s">
        <v>506</v>
      </c>
      <c r="F122" s="795" t="s">
        <v>548</v>
      </c>
      <c r="G122" s="796"/>
      <c r="H122" s="797"/>
      <c r="I122" s="702" t="s">
        <v>514</v>
      </c>
      <c r="J122" s="14"/>
      <c r="K122" s="804">
        <v>0</v>
      </c>
      <c r="L122" s="804">
        <v>0</v>
      </c>
      <c r="M122" s="804">
        <v>1</v>
      </c>
      <c r="N122" s="778">
        <v>0</v>
      </c>
      <c r="O122" s="778">
        <f>GETPIVOTDATA("Sum of 2017/18",'[4]ESC Cap Wks'!$A$3,"ACCOUNT NAME","Annual Renewal Program - Renewal Infrastructure - Renewal Drainage","Statement of Capital Works - Asset Class","Drainage","Statement of Capital Works - N/R/U","Asset renewal expenditure")</f>
        <v>50700</v>
      </c>
      <c r="P122" s="778">
        <v>0</v>
      </c>
      <c r="Q122" s="778">
        <v>0</v>
      </c>
      <c r="R122" s="790">
        <f>SUM(N122:Q126)</f>
        <v>50700</v>
      </c>
      <c r="S122" s="78" t="s">
        <v>363</v>
      </c>
      <c r="T122" s="110">
        <f>'[9]6. Detailed Capital Works'!$I$57*1000</f>
        <v>35000</v>
      </c>
      <c r="U122" s="31"/>
      <c r="V122" s="14"/>
    </row>
    <row r="123" spans="3:22" ht="12.75" customHeight="1" x14ac:dyDescent="0.2">
      <c r="C123" s="13"/>
      <c r="D123" s="19"/>
      <c r="E123" s="782"/>
      <c r="F123" s="798"/>
      <c r="G123" s="799"/>
      <c r="H123" s="800"/>
      <c r="I123" s="702"/>
      <c r="J123" s="14"/>
      <c r="K123" s="805"/>
      <c r="L123" s="805"/>
      <c r="M123" s="805"/>
      <c r="N123" s="779"/>
      <c r="O123" s="779"/>
      <c r="P123" s="779"/>
      <c r="Q123" s="779"/>
      <c r="R123" s="791"/>
      <c r="S123" s="78" t="s">
        <v>111</v>
      </c>
      <c r="T123" s="110">
        <f>'[9]6. Detailed Capital Works'!$J$126*1000</f>
        <v>15700</v>
      </c>
      <c r="U123" s="31"/>
      <c r="V123" s="14"/>
    </row>
    <row r="124" spans="3:22" ht="12.75" customHeight="1" x14ac:dyDescent="0.2">
      <c r="C124" s="13"/>
      <c r="D124" s="19"/>
      <c r="E124" s="782"/>
      <c r="F124" s="798"/>
      <c r="G124" s="799"/>
      <c r="H124" s="800"/>
      <c r="I124" s="702"/>
      <c r="J124" s="14"/>
      <c r="K124" s="805"/>
      <c r="L124" s="805"/>
      <c r="M124" s="805"/>
      <c r="N124" s="779"/>
      <c r="O124" s="779"/>
      <c r="P124" s="779"/>
      <c r="Q124" s="779"/>
      <c r="R124" s="791"/>
      <c r="S124" s="78"/>
      <c r="T124" s="110"/>
      <c r="U124" s="31"/>
      <c r="V124" s="14"/>
    </row>
    <row r="125" spans="3:22" ht="12.75" customHeight="1" x14ac:dyDescent="0.2">
      <c r="C125" s="13"/>
      <c r="D125" s="19"/>
      <c r="E125" s="782"/>
      <c r="F125" s="798"/>
      <c r="G125" s="799"/>
      <c r="H125" s="800"/>
      <c r="I125" s="702"/>
      <c r="J125" s="14"/>
      <c r="K125" s="805"/>
      <c r="L125" s="805"/>
      <c r="M125" s="805"/>
      <c r="N125" s="779"/>
      <c r="O125" s="779"/>
      <c r="P125" s="779"/>
      <c r="Q125" s="779"/>
      <c r="R125" s="791"/>
      <c r="S125" s="78"/>
      <c r="T125" s="110"/>
      <c r="U125" s="31"/>
      <c r="V125" s="14"/>
    </row>
    <row r="126" spans="3:22" ht="12.75" customHeight="1" x14ac:dyDescent="0.2">
      <c r="C126" s="13"/>
      <c r="D126" s="19"/>
      <c r="E126" s="794"/>
      <c r="F126" s="801"/>
      <c r="G126" s="802"/>
      <c r="H126" s="803"/>
      <c r="I126" s="703"/>
      <c r="J126" s="14"/>
      <c r="K126" s="806"/>
      <c r="L126" s="806"/>
      <c r="M126" s="806"/>
      <c r="N126" s="780"/>
      <c r="O126" s="780"/>
      <c r="P126" s="780"/>
      <c r="Q126" s="780"/>
      <c r="R126" s="807"/>
      <c r="S126" s="122" t="s">
        <v>87</v>
      </c>
      <c r="T126" s="123">
        <f>SUM(T122:T125)</f>
        <v>50700</v>
      </c>
      <c r="U126" s="31"/>
      <c r="V126" s="14"/>
    </row>
    <row r="127" spans="3:22" ht="12.75" customHeight="1" x14ac:dyDescent="0.2">
      <c r="C127" s="13"/>
      <c r="D127" s="19">
        <f>D122+1</f>
        <v>24</v>
      </c>
      <c r="E127" s="793" t="s">
        <v>507</v>
      </c>
      <c r="F127" s="795" t="s">
        <v>549</v>
      </c>
      <c r="G127" s="796"/>
      <c r="H127" s="797"/>
      <c r="I127" s="702" t="s">
        <v>514</v>
      </c>
      <c r="J127" s="14"/>
      <c r="K127" s="804">
        <v>0</v>
      </c>
      <c r="L127" s="804">
        <v>1</v>
      </c>
      <c r="M127" s="804">
        <v>0</v>
      </c>
      <c r="N127" s="778">
        <v>0</v>
      </c>
      <c r="O127" s="778">
        <f>GETPIVOTDATA("Sum of 2017/18",'[4]ESC Cap Wks'!$A$3,"ACCOUNT NAME","Annual Renewal Program - Renewal Other Assets - Renewal fixtures and fittings","Statement of Capital Works - Asset Class","Fixtures, fittings and furniture","Statement of Capital Works - N/R/U","Asset renewal expenditure")</f>
        <v>5000</v>
      </c>
      <c r="P127" s="778">
        <v>0</v>
      </c>
      <c r="Q127" s="778">
        <v>0</v>
      </c>
      <c r="R127" s="790">
        <f>SUM(N127:Q131)</f>
        <v>5000</v>
      </c>
      <c r="S127" s="78" t="s">
        <v>363</v>
      </c>
      <c r="T127" s="110">
        <f>'[9]6. Detailed Capital Works'!$I$30*1000</f>
        <v>5000</v>
      </c>
      <c r="U127" s="31"/>
      <c r="V127" s="14"/>
    </row>
    <row r="128" spans="3:22" ht="12.75" customHeight="1" x14ac:dyDescent="0.2">
      <c r="C128" s="13"/>
      <c r="D128" s="19"/>
      <c r="E128" s="782"/>
      <c r="F128" s="798"/>
      <c r="G128" s="799"/>
      <c r="H128" s="800"/>
      <c r="I128" s="702"/>
      <c r="J128" s="14"/>
      <c r="K128" s="805"/>
      <c r="L128" s="805"/>
      <c r="M128" s="805"/>
      <c r="N128" s="779"/>
      <c r="O128" s="779"/>
      <c r="P128" s="779"/>
      <c r="Q128" s="779"/>
      <c r="R128" s="791"/>
      <c r="S128" s="78"/>
      <c r="T128" s="110"/>
      <c r="U128" s="31"/>
      <c r="V128" s="14"/>
    </row>
    <row r="129" spans="3:22" ht="12.75" customHeight="1" x14ac:dyDescent="0.2">
      <c r="C129" s="13"/>
      <c r="D129" s="19"/>
      <c r="E129" s="782"/>
      <c r="F129" s="798"/>
      <c r="G129" s="799"/>
      <c r="H129" s="800"/>
      <c r="I129" s="702"/>
      <c r="J129" s="14"/>
      <c r="K129" s="805"/>
      <c r="L129" s="805"/>
      <c r="M129" s="805"/>
      <c r="N129" s="779"/>
      <c r="O129" s="779"/>
      <c r="P129" s="779"/>
      <c r="Q129" s="779"/>
      <c r="R129" s="791"/>
      <c r="S129" s="78"/>
      <c r="T129" s="110"/>
      <c r="U129" s="31"/>
      <c r="V129" s="14"/>
    </row>
    <row r="130" spans="3:22" ht="12.75" customHeight="1" x14ac:dyDescent="0.2">
      <c r="C130" s="13"/>
      <c r="D130" s="19"/>
      <c r="E130" s="782"/>
      <c r="F130" s="798"/>
      <c r="G130" s="799"/>
      <c r="H130" s="800"/>
      <c r="I130" s="702"/>
      <c r="J130" s="14"/>
      <c r="K130" s="805"/>
      <c r="L130" s="805"/>
      <c r="M130" s="805"/>
      <c r="N130" s="779"/>
      <c r="O130" s="779"/>
      <c r="P130" s="779"/>
      <c r="Q130" s="779"/>
      <c r="R130" s="791"/>
      <c r="S130" s="78"/>
      <c r="T130" s="110"/>
      <c r="U130" s="31"/>
      <c r="V130" s="14"/>
    </row>
    <row r="131" spans="3:22" ht="12.75" customHeight="1" x14ac:dyDescent="0.2">
      <c r="C131" s="13"/>
      <c r="D131" s="19"/>
      <c r="E131" s="794"/>
      <c r="F131" s="801"/>
      <c r="G131" s="802"/>
      <c r="H131" s="803"/>
      <c r="I131" s="703"/>
      <c r="J131" s="14"/>
      <c r="K131" s="806"/>
      <c r="L131" s="806"/>
      <c r="M131" s="806"/>
      <c r="N131" s="780"/>
      <c r="O131" s="780"/>
      <c r="P131" s="780"/>
      <c r="Q131" s="780"/>
      <c r="R131" s="807"/>
      <c r="S131" s="122" t="s">
        <v>87</v>
      </c>
      <c r="T131" s="123">
        <f>SUM(T127:T130)</f>
        <v>5000</v>
      </c>
      <c r="U131" s="31"/>
      <c r="V131" s="14"/>
    </row>
    <row r="132" spans="3:22" ht="12.75" customHeight="1" x14ac:dyDescent="0.2">
      <c r="C132" s="13"/>
      <c r="D132" s="19">
        <f>D127+1</f>
        <v>25</v>
      </c>
      <c r="E132" s="793" t="s">
        <v>513</v>
      </c>
      <c r="F132" s="809" t="s">
        <v>550</v>
      </c>
      <c r="G132" s="810"/>
      <c r="H132" s="811"/>
      <c r="I132" s="702" t="s">
        <v>514</v>
      </c>
      <c r="J132" s="14"/>
      <c r="K132" s="804">
        <v>0</v>
      </c>
      <c r="L132" s="804">
        <v>0</v>
      </c>
      <c r="M132" s="804">
        <v>1</v>
      </c>
      <c r="N132" s="778">
        <v>0</v>
      </c>
      <c r="O132" s="778">
        <f>GETPIVOTDATA("Sum of 2017/18",'[4]ESC Cap Wks'!$A$3,"ACCOUNT NAME","Annual Renewal Program - Renewal Infrastructure - Renewal Footpaths","Statement of Capital Works - Asset Class","Footpaths and cycleways","Statement of Capital Works - N/R/U","Asset renewal expenditure")</f>
        <v>12000</v>
      </c>
      <c r="P132" s="778">
        <v>0</v>
      </c>
      <c r="Q132" s="778">
        <v>0</v>
      </c>
      <c r="R132" s="790">
        <f>SUM(N132:Q136)</f>
        <v>12000</v>
      </c>
      <c r="S132" s="78" t="s">
        <v>363</v>
      </c>
      <c r="T132" s="110">
        <f>'[9]6. Detailed Capital Works'!$I$52*1000</f>
        <v>12000</v>
      </c>
      <c r="U132" s="31"/>
      <c r="V132" s="14"/>
    </row>
    <row r="133" spans="3:22" ht="12.75" customHeight="1" x14ac:dyDescent="0.2">
      <c r="C133" s="13"/>
      <c r="D133" s="19"/>
      <c r="E133" s="782"/>
      <c r="F133" s="812"/>
      <c r="G133" s="813"/>
      <c r="H133" s="814"/>
      <c r="I133" s="702" t="s">
        <v>516</v>
      </c>
      <c r="J133" s="14"/>
      <c r="K133" s="805"/>
      <c r="L133" s="805"/>
      <c r="M133" s="805"/>
      <c r="N133" s="779"/>
      <c r="O133" s="779"/>
      <c r="P133" s="779"/>
      <c r="Q133" s="779"/>
      <c r="R133" s="791"/>
      <c r="S133" s="78"/>
      <c r="T133" s="110"/>
      <c r="U133" s="31"/>
      <c r="V133" s="14"/>
    </row>
    <row r="134" spans="3:22" ht="12.75" customHeight="1" x14ac:dyDescent="0.2">
      <c r="C134" s="13"/>
      <c r="D134" s="19"/>
      <c r="E134" s="782"/>
      <c r="F134" s="812"/>
      <c r="G134" s="813"/>
      <c r="H134" s="814"/>
      <c r="I134" s="702" t="s">
        <v>515</v>
      </c>
      <c r="J134" s="14"/>
      <c r="K134" s="805"/>
      <c r="L134" s="805"/>
      <c r="M134" s="805"/>
      <c r="N134" s="779"/>
      <c r="O134" s="779"/>
      <c r="P134" s="779"/>
      <c r="Q134" s="779"/>
      <c r="R134" s="791"/>
      <c r="S134" s="78"/>
      <c r="T134" s="110"/>
      <c r="U134" s="31"/>
      <c r="V134" s="14"/>
    </row>
    <row r="135" spans="3:22" ht="12.75" customHeight="1" x14ac:dyDescent="0.2">
      <c r="C135" s="13"/>
      <c r="D135" s="19"/>
      <c r="E135" s="782"/>
      <c r="F135" s="812"/>
      <c r="G135" s="813"/>
      <c r="H135" s="814"/>
      <c r="I135" s="702"/>
      <c r="J135" s="14"/>
      <c r="K135" s="805"/>
      <c r="L135" s="805"/>
      <c r="M135" s="805"/>
      <c r="N135" s="779"/>
      <c r="O135" s="779"/>
      <c r="P135" s="779"/>
      <c r="Q135" s="779"/>
      <c r="R135" s="791"/>
      <c r="S135" s="78"/>
      <c r="T135" s="110"/>
      <c r="U135" s="31"/>
      <c r="V135" s="14"/>
    </row>
    <row r="136" spans="3:22" ht="12.75" customHeight="1" x14ac:dyDescent="0.2">
      <c r="C136" s="13"/>
      <c r="D136" s="19"/>
      <c r="E136" s="794"/>
      <c r="F136" s="815"/>
      <c r="G136" s="816"/>
      <c r="H136" s="817"/>
      <c r="I136" s="703"/>
      <c r="J136" s="14"/>
      <c r="K136" s="806"/>
      <c r="L136" s="806"/>
      <c r="M136" s="806"/>
      <c r="N136" s="780"/>
      <c r="O136" s="780"/>
      <c r="P136" s="780"/>
      <c r="Q136" s="780"/>
      <c r="R136" s="807"/>
      <c r="S136" s="122" t="s">
        <v>87</v>
      </c>
      <c r="T136" s="123">
        <f>SUM(T132:T135)</f>
        <v>12000</v>
      </c>
      <c r="U136" s="31"/>
      <c r="V136" s="14"/>
    </row>
    <row r="137" spans="3:22" ht="12.75" customHeight="1" x14ac:dyDescent="0.2">
      <c r="C137" s="13"/>
      <c r="D137" s="19">
        <f>D132+1</f>
        <v>26</v>
      </c>
      <c r="E137" s="793" t="s">
        <v>509</v>
      </c>
      <c r="F137" s="809" t="s">
        <v>551</v>
      </c>
      <c r="G137" s="810"/>
      <c r="H137" s="811"/>
      <c r="I137" s="702" t="s">
        <v>514</v>
      </c>
      <c r="J137" s="14"/>
      <c r="K137" s="804">
        <v>0</v>
      </c>
      <c r="L137" s="804">
        <v>0</v>
      </c>
      <c r="M137" s="804">
        <v>1</v>
      </c>
      <c r="N137" s="778">
        <v>0</v>
      </c>
      <c r="O137" s="778">
        <f>SUM(GETPIVOTDATA("Sum of 2017/18",'[4]ESC Cap Wks'!$A$3,"ACCOUNT NAME","Annual Renewal Program - Renewal Car Parks &amp; Roads - Renewal access roads for reserves, parks and carparks","Statement of Capital Works - Asset Class","Roads","Statement of Capital Works - N/R/U","Asset renewal expenditure"),'[4]ESC Cap Wks'!$C$150:$C$151)</f>
        <v>105000</v>
      </c>
      <c r="P137" s="778">
        <v>0</v>
      </c>
      <c r="Q137" s="778">
        <v>0</v>
      </c>
      <c r="R137" s="790">
        <f>SUM(N137:Q141)</f>
        <v>105000</v>
      </c>
      <c r="S137" s="78" t="s">
        <v>363</v>
      </c>
      <c r="T137" s="110">
        <f>SUM('[9]6. Detailed Capital Works'!$I$41:$I$43)*1000</f>
        <v>105000</v>
      </c>
      <c r="U137" s="31"/>
      <c r="V137" s="14"/>
    </row>
    <row r="138" spans="3:22" ht="12.75" customHeight="1" x14ac:dyDescent="0.2">
      <c r="C138" s="13"/>
      <c r="D138" s="19"/>
      <c r="E138" s="782"/>
      <c r="F138" s="812"/>
      <c r="G138" s="813"/>
      <c r="H138" s="814"/>
      <c r="I138" s="702"/>
      <c r="J138" s="14"/>
      <c r="K138" s="805"/>
      <c r="L138" s="805"/>
      <c r="M138" s="805"/>
      <c r="N138" s="779"/>
      <c r="O138" s="779"/>
      <c r="P138" s="779"/>
      <c r="Q138" s="779"/>
      <c r="R138" s="791"/>
      <c r="S138" s="78"/>
      <c r="T138" s="110"/>
      <c r="U138" s="31"/>
      <c r="V138" s="14"/>
    </row>
    <row r="139" spans="3:22" ht="12.75" customHeight="1" x14ac:dyDescent="0.2">
      <c r="C139" s="13"/>
      <c r="D139" s="19"/>
      <c r="E139" s="782"/>
      <c r="F139" s="812"/>
      <c r="G139" s="813"/>
      <c r="H139" s="814"/>
      <c r="I139" s="702"/>
      <c r="J139" s="14"/>
      <c r="K139" s="805"/>
      <c r="L139" s="805"/>
      <c r="M139" s="805"/>
      <c r="N139" s="779"/>
      <c r="O139" s="779"/>
      <c r="P139" s="779"/>
      <c r="Q139" s="779"/>
      <c r="R139" s="791"/>
      <c r="S139" s="78"/>
      <c r="T139" s="110"/>
      <c r="U139" s="31"/>
      <c r="V139" s="14"/>
    </row>
    <row r="140" spans="3:22" ht="12.75" customHeight="1" x14ac:dyDescent="0.2">
      <c r="C140" s="13"/>
      <c r="D140" s="19"/>
      <c r="E140" s="782"/>
      <c r="F140" s="812"/>
      <c r="G140" s="813"/>
      <c r="H140" s="814"/>
      <c r="I140" s="702"/>
      <c r="J140" s="14"/>
      <c r="K140" s="805"/>
      <c r="L140" s="805"/>
      <c r="M140" s="805"/>
      <c r="N140" s="779"/>
      <c r="O140" s="779"/>
      <c r="P140" s="779"/>
      <c r="Q140" s="779"/>
      <c r="R140" s="791"/>
      <c r="S140" s="78"/>
      <c r="T140" s="110"/>
      <c r="U140" s="31"/>
      <c r="V140" s="14"/>
    </row>
    <row r="141" spans="3:22" ht="12.75" customHeight="1" x14ac:dyDescent="0.2">
      <c r="C141" s="13"/>
      <c r="D141" s="19"/>
      <c r="E141" s="794"/>
      <c r="F141" s="815"/>
      <c r="G141" s="816"/>
      <c r="H141" s="817"/>
      <c r="I141" s="703"/>
      <c r="J141" s="14"/>
      <c r="K141" s="806"/>
      <c r="L141" s="806"/>
      <c r="M141" s="806"/>
      <c r="N141" s="780"/>
      <c r="O141" s="780"/>
      <c r="P141" s="780"/>
      <c r="Q141" s="780"/>
      <c r="R141" s="807"/>
      <c r="S141" s="122" t="s">
        <v>87</v>
      </c>
      <c r="T141" s="123">
        <f>SUM(T137:T140)</f>
        <v>105000</v>
      </c>
      <c r="U141" s="31"/>
      <c r="V141" s="14"/>
    </row>
    <row r="142" spans="3:22" ht="12.75" customHeight="1" x14ac:dyDescent="0.2">
      <c r="C142" s="13"/>
      <c r="D142" s="19">
        <f>D137+1</f>
        <v>27</v>
      </c>
      <c r="E142" s="793" t="s">
        <v>510</v>
      </c>
      <c r="F142" s="795" t="s">
        <v>552</v>
      </c>
      <c r="G142" s="796"/>
      <c r="H142" s="797"/>
      <c r="I142" s="702" t="s">
        <v>514</v>
      </c>
      <c r="J142" s="14"/>
      <c r="K142" s="804">
        <v>0</v>
      </c>
      <c r="L142" s="804">
        <v>1</v>
      </c>
      <c r="M142" s="804">
        <v>0</v>
      </c>
      <c r="N142" s="778">
        <v>0</v>
      </c>
      <c r="O142" s="778">
        <f>SUM('[4]ESC Cap Wks'!$C$126:$C$128)</f>
        <v>165000</v>
      </c>
      <c r="P142" s="778">
        <v>0</v>
      </c>
      <c r="Q142" s="778">
        <v>0</v>
      </c>
      <c r="R142" s="790">
        <f>SUM(N142:Q146)</f>
        <v>165000</v>
      </c>
      <c r="S142" s="78" t="s">
        <v>363</v>
      </c>
      <c r="T142" s="110">
        <f>'[9]6. Detailed Capital Works'!$I$26*1000</f>
        <v>87500</v>
      </c>
      <c r="U142" s="31"/>
      <c r="V142" s="14"/>
    </row>
    <row r="143" spans="3:22" ht="12.75" customHeight="1" x14ac:dyDescent="0.2">
      <c r="C143" s="13"/>
      <c r="D143" s="19"/>
      <c r="E143" s="782"/>
      <c r="F143" s="798"/>
      <c r="G143" s="799"/>
      <c r="H143" s="800"/>
      <c r="I143" s="702"/>
      <c r="J143" s="14"/>
      <c r="K143" s="805"/>
      <c r="L143" s="805"/>
      <c r="M143" s="805"/>
      <c r="N143" s="779"/>
      <c r="O143" s="779"/>
      <c r="P143" s="779"/>
      <c r="Q143" s="779"/>
      <c r="R143" s="791"/>
      <c r="S143" s="78" t="s">
        <v>112</v>
      </c>
      <c r="T143" s="110">
        <f>'[9]6. Detailed Capital Works'!$L$23*1000</f>
        <v>77500</v>
      </c>
      <c r="U143" s="31"/>
      <c r="V143" s="14"/>
    </row>
    <row r="144" spans="3:22" ht="12.75" customHeight="1" x14ac:dyDescent="0.2">
      <c r="C144" s="13"/>
      <c r="D144" s="19"/>
      <c r="E144" s="782"/>
      <c r="F144" s="798"/>
      <c r="G144" s="799"/>
      <c r="H144" s="800"/>
      <c r="I144" s="702"/>
      <c r="J144" s="14"/>
      <c r="K144" s="805"/>
      <c r="L144" s="805"/>
      <c r="M144" s="805"/>
      <c r="N144" s="779"/>
      <c r="O144" s="779"/>
      <c r="P144" s="779"/>
      <c r="Q144" s="779"/>
      <c r="R144" s="791"/>
      <c r="S144" s="78"/>
      <c r="T144" s="110"/>
      <c r="U144" s="31"/>
      <c r="V144" s="14"/>
    </row>
    <row r="145" spans="3:22" ht="12.75" customHeight="1" x14ac:dyDescent="0.2">
      <c r="C145" s="13"/>
      <c r="D145" s="19"/>
      <c r="E145" s="782"/>
      <c r="F145" s="798"/>
      <c r="G145" s="799"/>
      <c r="H145" s="800"/>
      <c r="I145" s="702"/>
      <c r="J145" s="14"/>
      <c r="K145" s="805"/>
      <c r="L145" s="805"/>
      <c r="M145" s="805"/>
      <c r="N145" s="779"/>
      <c r="O145" s="779"/>
      <c r="P145" s="779"/>
      <c r="Q145" s="779"/>
      <c r="R145" s="791"/>
      <c r="S145" s="78"/>
      <c r="T145" s="110"/>
      <c r="U145" s="31"/>
      <c r="V145" s="14"/>
    </row>
    <row r="146" spans="3:22" ht="12.75" customHeight="1" x14ac:dyDescent="0.2">
      <c r="C146" s="13"/>
      <c r="D146" s="19"/>
      <c r="E146" s="794"/>
      <c r="F146" s="801"/>
      <c r="G146" s="802"/>
      <c r="H146" s="803"/>
      <c r="I146" s="703"/>
      <c r="J146" s="14"/>
      <c r="K146" s="806"/>
      <c r="L146" s="806"/>
      <c r="M146" s="806"/>
      <c r="N146" s="780"/>
      <c r="O146" s="780"/>
      <c r="P146" s="780"/>
      <c r="Q146" s="780"/>
      <c r="R146" s="807"/>
      <c r="S146" s="122" t="s">
        <v>87</v>
      </c>
      <c r="T146" s="123">
        <f>SUM(T142:T145)</f>
        <v>165000</v>
      </c>
      <c r="U146" s="31"/>
      <c r="V146" s="14"/>
    </row>
    <row r="147" spans="3:22" ht="12.75" customHeight="1" x14ac:dyDescent="0.2">
      <c r="C147" s="13"/>
      <c r="D147" s="19">
        <f>D142+1</f>
        <v>28</v>
      </c>
      <c r="E147" s="793" t="s">
        <v>511</v>
      </c>
      <c r="F147" s="795" t="s">
        <v>553</v>
      </c>
      <c r="G147" s="796"/>
      <c r="H147" s="797"/>
      <c r="I147" s="702" t="s">
        <v>514</v>
      </c>
      <c r="J147" s="14"/>
      <c r="K147" s="804">
        <v>0</v>
      </c>
      <c r="L147" s="804">
        <v>0</v>
      </c>
      <c r="M147" s="804">
        <v>1</v>
      </c>
      <c r="N147" s="778">
        <v>0</v>
      </c>
      <c r="O147" s="778">
        <f>SUM('[4]ESC Cap Wks'!$C$114:$C$116)</f>
        <v>46597.15</v>
      </c>
      <c r="P147" s="778">
        <v>0</v>
      </c>
      <c r="Q147" s="778">
        <v>0</v>
      </c>
      <c r="R147" s="790">
        <f>SUM(N147:Q151)</f>
        <v>46597.15</v>
      </c>
      <c r="S147" s="78" t="s">
        <v>363</v>
      </c>
      <c r="T147" s="110">
        <f>SUM('[9]6. Detailed Capital Works'!$I$72:$I$74)*1000</f>
        <v>33000</v>
      </c>
      <c r="U147" s="31"/>
      <c r="V147" s="14"/>
    </row>
    <row r="148" spans="3:22" ht="12.75" customHeight="1" x14ac:dyDescent="0.2">
      <c r="C148" s="13"/>
      <c r="D148" s="19"/>
      <c r="E148" s="782"/>
      <c r="F148" s="798"/>
      <c r="G148" s="799"/>
      <c r="H148" s="800"/>
      <c r="I148" s="702" t="s">
        <v>516</v>
      </c>
      <c r="J148" s="14"/>
      <c r="K148" s="805"/>
      <c r="L148" s="805"/>
      <c r="M148" s="805"/>
      <c r="N148" s="779"/>
      <c r="O148" s="779"/>
      <c r="P148" s="779"/>
      <c r="Q148" s="779"/>
      <c r="R148" s="791"/>
      <c r="S148" s="78" t="s">
        <v>111</v>
      </c>
      <c r="T148" s="110">
        <f>'[9]6. Detailed Capital Works'!$J$135*1000</f>
        <v>13597.15</v>
      </c>
      <c r="U148" s="31"/>
      <c r="V148" s="14"/>
    </row>
    <row r="149" spans="3:22" ht="12.75" customHeight="1" x14ac:dyDescent="0.2">
      <c r="C149" s="13"/>
      <c r="D149" s="19"/>
      <c r="E149" s="782"/>
      <c r="F149" s="798"/>
      <c r="G149" s="799"/>
      <c r="H149" s="800"/>
      <c r="I149" s="702" t="s">
        <v>515</v>
      </c>
      <c r="J149" s="14"/>
      <c r="K149" s="805"/>
      <c r="L149" s="805"/>
      <c r="M149" s="805"/>
      <c r="N149" s="779"/>
      <c r="O149" s="779"/>
      <c r="P149" s="779"/>
      <c r="Q149" s="779"/>
      <c r="R149" s="791"/>
      <c r="S149" s="78"/>
      <c r="T149" s="110"/>
      <c r="U149" s="31"/>
      <c r="V149" s="14"/>
    </row>
    <row r="150" spans="3:22" ht="12.75" customHeight="1" x14ac:dyDescent="0.2">
      <c r="C150" s="13"/>
      <c r="D150" s="19"/>
      <c r="E150" s="782"/>
      <c r="F150" s="798"/>
      <c r="G150" s="799"/>
      <c r="H150" s="800"/>
      <c r="I150" s="702"/>
      <c r="J150" s="14"/>
      <c r="K150" s="805"/>
      <c r="L150" s="805"/>
      <c r="M150" s="805"/>
      <c r="N150" s="779"/>
      <c r="O150" s="779"/>
      <c r="P150" s="779"/>
      <c r="Q150" s="779"/>
      <c r="R150" s="791"/>
      <c r="S150" s="78"/>
      <c r="T150" s="110"/>
      <c r="U150" s="31"/>
      <c r="V150" s="14"/>
    </row>
    <row r="151" spans="3:22" ht="12.75" customHeight="1" x14ac:dyDescent="0.2">
      <c r="C151" s="13"/>
      <c r="D151" s="19"/>
      <c r="E151" s="794"/>
      <c r="F151" s="801"/>
      <c r="G151" s="802"/>
      <c r="H151" s="803"/>
      <c r="I151" s="703"/>
      <c r="J151" s="14"/>
      <c r="K151" s="806"/>
      <c r="L151" s="806"/>
      <c r="M151" s="806"/>
      <c r="N151" s="780"/>
      <c r="O151" s="780"/>
      <c r="P151" s="780"/>
      <c r="Q151" s="780"/>
      <c r="R151" s="807"/>
      <c r="S151" s="122" t="s">
        <v>87</v>
      </c>
      <c r="T151" s="123">
        <f>SUM(T147:T150)</f>
        <v>46597.15</v>
      </c>
      <c r="U151" s="31"/>
      <c r="V151" s="14"/>
    </row>
    <row r="152" spans="3:22" ht="12.75" customHeight="1" x14ac:dyDescent="0.2">
      <c r="C152" s="13"/>
      <c r="D152" s="19">
        <f>D147+1</f>
        <v>29</v>
      </c>
      <c r="E152" s="793" t="s">
        <v>512</v>
      </c>
      <c r="F152" s="795" t="s">
        <v>554</v>
      </c>
      <c r="G152" s="796"/>
      <c r="H152" s="797"/>
      <c r="I152" s="702" t="s">
        <v>514</v>
      </c>
      <c r="J152" s="14"/>
      <c r="K152" s="804">
        <v>0</v>
      </c>
      <c r="L152" s="804">
        <v>0</v>
      </c>
      <c r="M152" s="804">
        <v>1</v>
      </c>
      <c r="N152" s="778">
        <v>0</v>
      </c>
      <c r="O152" s="778">
        <f>SUM('[4]ESC Cap Wks'!$C$133:$C$137)</f>
        <v>50000</v>
      </c>
      <c r="P152" s="778">
        <v>0</v>
      </c>
      <c r="Q152" s="778">
        <v>0</v>
      </c>
      <c r="R152" s="790">
        <f>SUM(N152:Q156)</f>
        <v>50000</v>
      </c>
      <c r="S152" s="78" t="s">
        <v>363</v>
      </c>
      <c r="T152" s="110">
        <f>SUM('[9]6. Detailed Capital Works'!$I$62:$I$66)*1000</f>
        <v>40000</v>
      </c>
      <c r="U152" s="31"/>
      <c r="V152" s="14"/>
    </row>
    <row r="153" spans="3:22" ht="12.75" customHeight="1" x14ac:dyDescent="0.2">
      <c r="C153" s="13"/>
      <c r="D153" s="19"/>
      <c r="E153" s="782"/>
      <c r="F153" s="798"/>
      <c r="G153" s="799"/>
      <c r="H153" s="800"/>
      <c r="I153" s="702" t="s">
        <v>516</v>
      </c>
      <c r="J153" s="14"/>
      <c r="K153" s="805"/>
      <c r="L153" s="805"/>
      <c r="M153" s="805"/>
      <c r="N153" s="779"/>
      <c r="O153" s="779"/>
      <c r="P153" s="779"/>
      <c r="Q153" s="779"/>
      <c r="R153" s="791"/>
      <c r="S153" s="78" t="s">
        <v>111</v>
      </c>
      <c r="T153" s="110">
        <f>'[9]6. Detailed Capital Works'!$J$130*1000</f>
        <v>10000</v>
      </c>
      <c r="U153" s="31"/>
      <c r="V153" s="14"/>
    </row>
    <row r="154" spans="3:22" ht="12.75" customHeight="1" x14ac:dyDescent="0.2">
      <c r="C154" s="13"/>
      <c r="D154" s="19"/>
      <c r="E154" s="782"/>
      <c r="F154" s="798"/>
      <c r="G154" s="799"/>
      <c r="H154" s="800"/>
      <c r="I154" s="702" t="s">
        <v>515</v>
      </c>
      <c r="J154" s="14"/>
      <c r="K154" s="805"/>
      <c r="L154" s="805"/>
      <c r="M154" s="805"/>
      <c r="N154" s="779"/>
      <c r="O154" s="779"/>
      <c r="P154" s="779"/>
      <c r="Q154" s="779"/>
      <c r="R154" s="791"/>
      <c r="S154" s="78"/>
      <c r="T154" s="110"/>
      <c r="U154" s="31"/>
      <c r="V154" s="14"/>
    </row>
    <row r="155" spans="3:22" ht="12.75" customHeight="1" x14ac:dyDescent="0.2">
      <c r="C155" s="13"/>
      <c r="D155" s="19"/>
      <c r="E155" s="782"/>
      <c r="F155" s="798"/>
      <c r="G155" s="799"/>
      <c r="H155" s="800"/>
      <c r="I155" s="702"/>
      <c r="J155" s="14"/>
      <c r="K155" s="805"/>
      <c r="L155" s="805"/>
      <c r="M155" s="805"/>
      <c r="N155" s="779"/>
      <c r="O155" s="779"/>
      <c r="P155" s="779"/>
      <c r="Q155" s="779"/>
      <c r="R155" s="791"/>
      <c r="S155" s="78"/>
      <c r="T155" s="110"/>
      <c r="U155" s="31"/>
      <c r="V155" s="14"/>
    </row>
    <row r="156" spans="3:22" ht="12.75" customHeight="1" x14ac:dyDescent="0.2">
      <c r="C156" s="13"/>
      <c r="D156" s="19"/>
      <c r="E156" s="794"/>
      <c r="F156" s="801"/>
      <c r="G156" s="802"/>
      <c r="H156" s="803"/>
      <c r="I156" s="703"/>
      <c r="J156" s="14"/>
      <c r="K156" s="806"/>
      <c r="L156" s="806"/>
      <c r="M156" s="806"/>
      <c r="N156" s="780"/>
      <c r="O156" s="780"/>
      <c r="P156" s="780"/>
      <c r="Q156" s="780"/>
      <c r="R156" s="807"/>
      <c r="S156" s="122" t="s">
        <v>87</v>
      </c>
      <c r="T156" s="123">
        <f>SUM(T152:T155)</f>
        <v>50000</v>
      </c>
      <c r="U156" s="31"/>
      <c r="V156" s="14"/>
    </row>
    <row r="157" spans="3:22" ht="12.75" customHeight="1" x14ac:dyDescent="0.2">
      <c r="C157" s="13"/>
      <c r="D157" s="19">
        <f>D152+1</f>
        <v>30</v>
      </c>
      <c r="E157" s="793" t="s">
        <v>508</v>
      </c>
      <c r="F157" s="795" t="s">
        <v>555</v>
      </c>
      <c r="G157" s="796"/>
      <c r="H157" s="797"/>
      <c r="I157" s="702" t="s">
        <v>514</v>
      </c>
      <c r="J157" s="14"/>
      <c r="K157" s="804">
        <v>0</v>
      </c>
      <c r="L157" s="804">
        <v>0</v>
      </c>
      <c r="M157" s="804">
        <v>1</v>
      </c>
      <c r="N157" s="778">
        <v>0</v>
      </c>
      <c r="O157" s="778">
        <f>GETPIVOTDATA("Sum of 2017/18",'[4]ESC Cap Wks'!$A$3,"ACCOUNT NAME","Annual Renewal Program - Renewal Infrastructure - Roads to Recovery Program","Statement of Capital Works - Asset Class","Roads","Statement of Capital Works - N/R/U","Asset renewal expenditure")</f>
        <v>231300</v>
      </c>
      <c r="P157" s="778">
        <v>0</v>
      </c>
      <c r="Q157" s="778">
        <v>0</v>
      </c>
      <c r="R157" s="790">
        <f>SUM(N157:Q161)</f>
        <v>231300</v>
      </c>
      <c r="S157" s="78" t="s">
        <v>108</v>
      </c>
      <c r="T157" s="110">
        <f>'[9]6. Detailed Capital Works'!$G$44*1000</f>
        <v>231300</v>
      </c>
      <c r="U157" s="31"/>
      <c r="V157" s="14"/>
    </row>
    <row r="158" spans="3:22" ht="12.75" customHeight="1" x14ac:dyDescent="0.2">
      <c r="C158" s="13"/>
      <c r="D158" s="19"/>
      <c r="E158" s="782"/>
      <c r="F158" s="798"/>
      <c r="G158" s="799"/>
      <c r="H158" s="800"/>
      <c r="I158" s="702"/>
      <c r="J158" s="14"/>
      <c r="K158" s="805"/>
      <c r="L158" s="805"/>
      <c r="M158" s="805"/>
      <c r="N158" s="779"/>
      <c r="O158" s="779"/>
      <c r="P158" s="779"/>
      <c r="Q158" s="779"/>
      <c r="R158" s="791"/>
      <c r="S158" s="78"/>
      <c r="T158" s="110"/>
      <c r="U158" s="31"/>
      <c r="V158" s="14"/>
    </row>
    <row r="159" spans="3:22" ht="12.75" customHeight="1" x14ac:dyDescent="0.2">
      <c r="C159" s="13"/>
      <c r="D159" s="19"/>
      <c r="E159" s="782"/>
      <c r="F159" s="798"/>
      <c r="G159" s="799"/>
      <c r="H159" s="800"/>
      <c r="I159" s="702"/>
      <c r="J159" s="14"/>
      <c r="K159" s="805"/>
      <c r="L159" s="805"/>
      <c r="M159" s="805"/>
      <c r="N159" s="779"/>
      <c r="O159" s="779"/>
      <c r="P159" s="779"/>
      <c r="Q159" s="779"/>
      <c r="R159" s="791"/>
      <c r="S159" s="78"/>
      <c r="T159" s="110"/>
      <c r="U159" s="31"/>
      <c r="V159" s="14"/>
    </row>
    <row r="160" spans="3:22" ht="12.75" customHeight="1" x14ac:dyDescent="0.2">
      <c r="C160" s="13"/>
      <c r="D160" s="19"/>
      <c r="E160" s="782"/>
      <c r="F160" s="798"/>
      <c r="G160" s="799"/>
      <c r="H160" s="800"/>
      <c r="I160" s="702"/>
      <c r="J160" s="14"/>
      <c r="K160" s="805"/>
      <c r="L160" s="805"/>
      <c r="M160" s="805"/>
      <c r="N160" s="779"/>
      <c r="O160" s="779"/>
      <c r="P160" s="779"/>
      <c r="Q160" s="779"/>
      <c r="R160" s="791"/>
      <c r="S160" s="78"/>
      <c r="T160" s="110"/>
      <c r="U160" s="31"/>
      <c r="V160" s="14"/>
    </row>
    <row r="161" spans="2:22" ht="12.75" customHeight="1" x14ac:dyDescent="0.2">
      <c r="C161" s="13"/>
      <c r="D161" s="19"/>
      <c r="E161" s="794"/>
      <c r="F161" s="801"/>
      <c r="G161" s="802"/>
      <c r="H161" s="803"/>
      <c r="I161" s="703"/>
      <c r="J161" s="14"/>
      <c r="K161" s="806"/>
      <c r="L161" s="806"/>
      <c r="M161" s="806"/>
      <c r="N161" s="780"/>
      <c r="O161" s="780"/>
      <c r="P161" s="780"/>
      <c r="Q161" s="780"/>
      <c r="R161" s="807"/>
      <c r="S161" s="122" t="s">
        <v>87</v>
      </c>
      <c r="T161" s="123">
        <f>SUM(T157:T160)</f>
        <v>231300</v>
      </c>
      <c r="U161" s="31"/>
      <c r="V161" s="14"/>
    </row>
    <row r="162" spans="2:22" ht="12.75" customHeight="1" x14ac:dyDescent="0.2">
      <c r="C162" s="13"/>
      <c r="D162" s="19">
        <f>D157+1</f>
        <v>31</v>
      </c>
      <c r="E162" s="793" t="str">
        <f>'[4]ESC Cap Wks'!$A$24</f>
        <v>Destination Queenscliff Project Management</v>
      </c>
      <c r="F162" s="795" t="s">
        <v>556</v>
      </c>
      <c r="G162" s="796"/>
      <c r="H162" s="797"/>
      <c r="I162" s="702" t="s">
        <v>519</v>
      </c>
      <c r="J162" s="14"/>
      <c r="K162" s="804">
        <v>0.85</v>
      </c>
      <c r="L162" s="804">
        <v>0</v>
      </c>
      <c r="M162" s="804">
        <v>0.15</v>
      </c>
      <c r="N162" s="778">
        <f>0.85*GETPIVOTDATA("Sum of 2017/18",'[4]ESC Cap Wks'!$A$3,"ACCOUNT NAME","Destination Queenscliff Project Management","Statement of Capital Works - Asset Class","85% Buildings, 15% Car Parks","Statement of Capital Works - N/R/U","85% New, 15% Upgrade")</f>
        <v>148750</v>
      </c>
      <c r="O162" s="778">
        <v>0</v>
      </c>
      <c r="P162" s="778">
        <v>0</v>
      </c>
      <c r="Q162" s="778">
        <f>0.15*GETPIVOTDATA("Sum of 2017/18",'[4]ESC Cap Wks'!$A$3,"ACCOUNT NAME","Destination Queenscliff Project Management","Statement of Capital Works - Asset Class","85% Buildings, 15% Car Parks","Statement of Capital Works - N/R/U","85% New, 15% Upgrade")</f>
        <v>26250</v>
      </c>
      <c r="R162" s="790">
        <f>SUM(N162:Q166)</f>
        <v>175000</v>
      </c>
      <c r="S162" s="78" t="s">
        <v>363</v>
      </c>
      <c r="T162" s="110">
        <f>R162</f>
        <v>175000</v>
      </c>
      <c r="U162" s="31"/>
      <c r="V162" s="14"/>
    </row>
    <row r="163" spans="2:22" ht="12.75" customHeight="1" x14ac:dyDescent="0.2">
      <c r="C163" s="13"/>
      <c r="D163" s="19"/>
      <c r="E163" s="782"/>
      <c r="F163" s="798"/>
      <c r="G163" s="799"/>
      <c r="H163" s="800"/>
      <c r="I163" s="702" t="s">
        <v>516</v>
      </c>
      <c r="J163" s="14"/>
      <c r="K163" s="805"/>
      <c r="L163" s="805"/>
      <c r="M163" s="805"/>
      <c r="N163" s="779"/>
      <c r="O163" s="779"/>
      <c r="P163" s="779"/>
      <c r="Q163" s="779"/>
      <c r="R163" s="791"/>
      <c r="S163" s="78"/>
      <c r="T163" s="110"/>
      <c r="U163" s="31"/>
      <c r="V163" s="14"/>
    </row>
    <row r="164" spans="2:22" ht="12.75" customHeight="1" x14ac:dyDescent="0.2">
      <c r="C164" s="13"/>
      <c r="D164" s="19"/>
      <c r="E164" s="782"/>
      <c r="F164" s="798"/>
      <c r="G164" s="799"/>
      <c r="H164" s="800"/>
      <c r="I164" s="702" t="s">
        <v>514</v>
      </c>
      <c r="J164" s="14"/>
      <c r="K164" s="805"/>
      <c r="L164" s="805"/>
      <c r="M164" s="805"/>
      <c r="N164" s="779"/>
      <c r="O164" s="779"/>
      <c r="P164" s="779"/>
      <c r="Q164" s="779"/>
      <c r="R164" s="791"/>
      <c r="S164" s="78"/>
      <c r="T164" s="110"/>
      <c r="U164" s="31"/>
      <c r="V164" s="14"/>
    </row>
    <row r="165" spans="2:22" ht="12.75" customHeight="1" x14ac:dyDescent="0.2">
      <c r="C165" s="13"/>
      <c r="D165" s="19"/>
      <c r="E165" s="782"/>
      <c r="F165" s="798"/>
      <c r="G165" s="799"/>
      <c r="H165" s="800"/>
      <c r="I165" s="702" t="s">
        <v>515</v>
      </c>
      <c r="J165" s="14"/>
      <c r="K165" s="805"/>
      <c r="L165" s="805"/>
      <c r="M165" s="805"/>
      <c r="N165" s="779"/>
      <c r="O165" s="779"/>
      <c r="P165" s="779"/>
      <c r="Q165" s="779"/>
      <c r="R165" s="791"/>
      <c r="S165" s="78"/>
      <c r="T165" s="110"/>
      <c r="U165" s="31"/>
      <c r="V165" s="14"/>
    </row>
    <row r="166" spans="2:22" ht="12.75" customHeight="1" x14ac:dyDescent="0.2">
      <c r="C166" s="13"/>
      <c r="D166" s="19"/>
      <c r="E166" s="794"/>
      <c r="F166" s="801"/>
      <c r="G166" s="802"/>
      <c r="H166" s="803"/>
      <c r="I166" s="703" t="s">
        <v>533</v>
      </c>
      <c r="J166" s="14"/>
      <c r="K166" s="806"/>
      <c r="L166" s="806"/>
      <c r="M166" s="806"/>
      <c r="N166" s="780"/>
      <c r="O166" s="780"/>
      <c r="P166" s="780"/>
      <c r="Q166" s="780"/>
      <c r="R166" s="807"/>
      <c r="S166" s="122" t="s">
        <v>87</v>
      </c>
      <c r="T166" s="123">
        <f>SUM(T162:T165)</f>
        <v>175000</v>
      </c>
      <c r="U166" s="31"/>
      <c r="V166" s="14"/>
    </row>
    <row r="167" spans="2:22" ht="12.75" customHeight="1" x14ac:dyDescent="0.2">
      <c r="C167" s="13"/>
      <c r="D167" s="19">
        <f>D162+1</f>
        <v>32</v>
      </c>
      <c r="E167" s="793" t="str">
        <f>'[4]ESC Cap Wks'!$A$18</f>
        <v>Project management - priority infrastructure projects (capital)</v>
      </c>
      <c r="F167" s="795" t="s">
        <v>557</v>
      </c>
      <c r="G167" s="796"/>
      <c r="H167" s="797"/>
      <c r="I167" s="702" t="s">
        <v>519</v>
      </c>
      <c r="J167" s="14"/>
      <c r="K167" s="804">
        <v>0.5</v>
      </c>
      <c r="L167" s="804">
        <v>0</v>
      </c>
      <c r="M167" s="804">
        <v>0.5</v>
      </c>
      <c r="N167" s="778">
        <f>0.25*(SUM('[4]ESC Cap Wks'!$C$17:$C$18))</f>
        <v>50325</v>
      </c>
      <c r="O167" s="778">
        <f>0.6*(SUM('[4]ESC Cap Wks'!$C$17:$C$18))</f>
        <v>120780</v>
      </c>
      <c r="P167" s="778">
        <v>0</v>
      </c>
      <c r="Q167" s="778">
        <f>0.15*(SUM('[4]ESC Cap Wks'!$C$17:$C$18))</f>
        <v>30195</v>
      </c>
      <c r="R167" s="790">
        <f>SUM(N167:Q171)</f>
        <v>201300</v>
      </c>
      <c r="S167" s="78" t="s">
        <v>363</v>
      </c>
      <c r="T167" s="110">
        <f>R167</f>
        <v>201300</v>
      </c>
      <c r="U167" s="31"/>
      <c r="V167" s="14"/>
    </row>
    <row r="168" spans="2:22" ht="12.75" customHeight="1" x14ac:dyDescent="0.2">
      <c r="C168" s="13"/>
      <c r="D168" s="19"/>
      <c r="E168" s="782"/>
      <c r="F168" s="798"/>
      <c r="G168" s="799"/>
      <c r="H168" s="800"/>
      <c r="I168" s="702" t="s">
        <v>516</v>
      </c>
      <c r="J168" s="14"/>
      <c r="K168" s="805"/>
      <c r="L168" s="805"/>
      <c r="M168" s="805"/>
      <c r="N168" s="779"/>
      <c r="O168" s="779"/>
      <c r="P168" s="779"/>
      <c r="Q168" s="779"/>
      <c r="R168" s="791"/>
      <c r="S168" s="78"/>
      <c r="T168" s="110"/>
      <c r="U168" s="31"/>
      <c r="V168" s="14"/>
    </row>
    <row r="169" spans="2:22" ht="12.75" customHeight="1" x14ac:dyDescent="0.2">
      <c r="C169" s="13"/>
      <c r="D169" s="19"/>
      <c r="E169" s="782"/>
      <c r="F169" s="798"/>
      <c r="G169" s="799"/>
      <c r="H169" s="800"/>
      <c r="I169" s="702" t="s">
        <v>514</v>
      </c>
      <c r="J169" s="14"/>
      <c r="K169" s="805"/>
      <c r="L169" s="805"/>
      <c r="M169" s="805"/>
      <c r="N169" s="779"/>
      <c r="O169" s="779"/>
      <c r="P169" s="779"/>
      <c r="Q169" s="779"/>
      <c r="R169" s="791"/>
      <c r="S169" s="78"/>
      <c r="T169" s="110"/>
      <c r="U169" s="31"/>
      <c r="V169" s="14"/>
    </row>
    <row r="170" spans="2:22" ht="12.75" customHeight="1" x14ac:dyDescent="0.2">
      <c r="C170" s="13"/>
      <c r="D170" s="19"/>
      <c r="E170" s="782"/>
      <c r="F170" s="798"/>
      <c r="G170" s="799"/>
      <c r="H170" s="800"/>
      <c r="I170" s="702" t="s">
        <v>515</v>
      </c>
      <c r="J170" s="14"/>
      <c r="K170" s="805"/>
      <c r="L170" s="805"/>
      <c r="M170" s="805"/>
      <c r="N170" s="779"/>
      <c r="O170" s="779"/>
      <c r="P170" s="779"/>
      <c r="Q170" s="779"/>
      <c r="R170" s="791"/>
      <c r="S170" s="78"/>
      <c r="T170" s="110"/>
      <c r="U170" s="31"/>
      <c r="V170" s="14"/>
    </row>
    <row r="171" spans="2:22" ht="12.75" customHeight="1" x14ac:dyDescent="0.2">
      <c r="C171" s="13"/>
      <c r="D171" s="19"/>
      <c r="E171" s="794"/>
      <c r="F171" s="801"/>
      <c r="G171" s="802"/>
      <c r="H171" s="803"/>
      <c r="I171" s="703" t="s">
        <v>533</v>
      </c>
      <c r="J171" s="14"/>
      <c r="K171" s="806"/>
      <c r="L171" s="806"/>
      <c r="M171" s="806"/>
      <c r="N171" s="780"/>
      <c r="O171" s="780"/>
      <c r="P171" s="780"/>
      <c r="Q171" s="780"/>
      <c r="R171" s="807"/>
      <c r="S171" s="122" t="s">
        <v>87</v>
      </c>
      <c r="T171" s="123">
        <f>SUM(T167:T170)</f>
        <v>201300</v>
      </c>
      <c r="U171" s="31"/>
      <c r="V171" s="14"/>
    </row>
    <row r="172" spans="2:22" ht="12.75" customHeight="1" x14ac:dyDescent="0.2">
      <c r="C172" s="13"/>
      <c r="D172" s="14"/>
      <c r="E172" s="81"/>
      <c r="F172" s="54"/>
      <c r="G172" s="54"/>
      <c r="H172" s="14"/>
      <c r="I172" s="14"/>
      <c r="J172" s="14"/>
      <c r="K172" s="14"/>
      <c r="L172" s="14"/>
      <c r="M172" s="14"/>
      <c r="N172" s="14"/>
      <c r="O172" s="14"/>
      <c r="P172" s="14"/>
      <c r="Q172" s="14"/>
      <c r="R172" s="405">
        <f>SUM(R12:R171)/R203</f>
        <v>1</v>
      </c>
      <c r="S172" s="14"/>
      <c r="T172" s="14"/>
      <c r="U172" s="31"/>
      <c r="V172" s="14"/>
    </row>
    <row r="173" spans="2:22" ht="12.75" customHeight="1" x14ac:dyDescent="0.2">
      <c r="C173" s="13"/>
      <c r="D173" s="14"/>
      <c r="E173" s="81"/>
      <c r="F173" s="54"/>
      <c r="G173" s="54"/>
      <c r="H173" s="14"/>
      <c r="I173" s="14"/>
      <c r="J173" s="14"/>
      <c r="K173" s="14"/>
      <c r="L173" s="14"/>
      <c r="M173" s="14"/>
      <c r="N173" s="14"/>
      <c r="O173" s="14"/>
      <c r="P173" s="14"/>
      <c r="Q173" s="14"/>
      <c r="R173" s="14"/>
      <c r="S173" s="14"/>
      <c r="T173" s="14"/>
      <c r="U173" s="31"/>
      <c r="V173" s="14"/>
    </row>
    <row r="174" spans="2:22" x14ac:dyDescent="0.2">
      <c r="B174" s="14"/>
      <c r="C174" s="13"/>
      <c r="D174" s="14"/>
      <c r="E174" s="81"/>
      <c r="F174" s="14"/>
      <c r="G174" s="14"/>
      <c r="H174" s="14"/>
      <c r="I174" s="14"/>
      <c r="J174" s="14"/>
      <c r="K174" s="14"/>
      <c r="L174" s="14"/>
      <c r="M174" s="14"/>
      <c r="N174" s="14"/>
      <c r="O174" s="14"/>
      <c r="P174" s="14"/>
      <c r="Q174" s="14"/>
      <c r="R174" s="14"/>
      <c r="S174" s="14"/>
      <c r="T174" s="14"/>
      <c r="U174" s="31"/>
      <c r="V174" s="14"/>
    </row>
    <row r="175" spans="2:22" x14ac:dyDescent="0.2">
      <c r="B175" s="14"/>
      <c r="C175" s="13"/>
      <c r="D175" s="14"/>
      <c r="E175" s="124"/>
      <c r="F175" s="128"/>
      <c r="G175" s="128"/>
      <c r="H175" s="784" t="s">
        <v>145</v>
      </c>
      <c r="I175" s="785"/>
      <c r="J175" s="14"/>
      <c r="K175" s="14"/>
      <c r="L175" s="14"/>
      <c r="M175" s="14"/>
      <c r="N175" s="786" t="s">
        <v>101</v>
      </c>
      <c r="O175" s="787"/>
      <c r="P175" s="787"/>
      <c r="Q175" s="787"/>
      <c r="R175" s="788"/>
      <c r="S175" s="125"/>
      <c r="T175" s="126"/>
      <c r="U175" s="131"/>
      <c r="V175" s="30"/>
    </row>
    <row r="176" spans="2:22" ht="25.5" x14ac:dyDescent="0.2">
      <c r="B176" s="14"/>
      <c r="C176" s="13"/>
      <c r="D176" s="14"/>
      <c r="E176" s="130"/>
      <c r="F176" s="14"/>
      <c r="G176" s="14"/>
      <c r="H176" s="222" t="s">
        <v>143</v>
      </c>
      <c r="I176" s="222" t="s">
        <v>144</v>
      </c>
      <c r="J176" s="14"/>
      <c r="K176" s="14"/>
      <c r="L176" s="14"/>
      <c r="M176" s="14"/>
      <c r="N176" s="223" t="s">
        <v>103</v>
      </c>
      <c r="O176" s="223" t="s">
        <v>104</v>
      </c>
      <c r="P176" s="223" t="s">
        <v>105</v>
      </c>
      <c r="Q176" s="223" t="s">
        <v>106</v>
      </c>
      <c r="R176" s="223" t="s">
        <v>87</v>
      </c>
      <c r="S176" s="223" t="s">
        <v>141</v>
      </c>
      <c r="T176" s="223" t="s">
        <v>142</v>
      </c>
      <c r="U176" s="31"/>
      <c r="V176" s="14"/>
    </row>
    <row r="177" spans="2:22" x14ac:dyDescent="0.2">
      <c r="B177" s="14"/>
      <c r="C177" s="13"/>
      <c r="D177" s="14"/>
      <c r="E177" s="130"/>
      <c r="F177" s="14"/>
      <c r="G177" s="14"/>
      <c r="H177" s="150" t="s">
        <v>164</v>
      </c>
      <c r="I177" s="150" t="s">
        <v>163</v>
      </c>
      <c r="J177" s="14"/>
      <c r="K177" s="14"/>
      <c r="L177" s="14"/>
      <c r="M177" s="14"/>
      <c r="N177" s="150" t="s">
        <v>164</v>
      </c>
      <c r="O177" s="150" t="s">
        <v>164</v>
      </c>
      <c r="P177" s="150" t="s">
        <v>164</v>
      </c>
      <c r="Q177" s="150" t="s">
        <v>164</v>
      </c>
      <c r="R177" s="150" t="s">
        <v>164</v>
      </c>
      <c r="S177" s="150" t="s">
        <v>164</v>
      </c>
      <c r="T177" s="150" t="s">
        <v>163</v>
      </c>
      <c r="U177" s="31"/>
      <c r="V177" s="14"/>
    </row>
    <row r="178" spans="2:22" ht="6.75" customHeight="1" x14ac:dyDescent="0.2">
      <c r="B178" s="14"/>
      <c r="C178" s="13"/>
      <c r="D178" s="14"/>
      <c r="E178" s="130"/>
      <c r="F178" s="14"/>
      <c r="G178" s="14"/>
      <c r="H178" s="150"/>
      <c r="I178" s="150"/>
      <c r="J178" s="14"/>
      <c r="K178" s="14"/>
      <c r="L178" s="14"/>
      <c r="M178" s="14"/>
      <c r="N178" s="150"/>
      <c r="O178" s="150"/>
      <c r="P178" s="150"/>
      <c r="Q178" s="150"/>
      <c r="R178" s="150"/>
      <c r="S178" s="150"/>
      <c r="T178" s="150"/>
      <c r="U178" s="31"/>
      <c r="V178" s="14"/>
    </row>
    <row r="179" spans="2:22" ht="12.75" customHeight="1" x14ac:dyDescent="0.2">
      <c r="B179" s="14"/>
      <c r="C179" s="13"/>
      <c r="D179" s="14"/>
      <c r="E179" s="130" t="s">
        <v>117</v>
      </c>
      <c r="F179" s="14"/>
      <c r="G179" s="14"/>
      <c r="H179" s="150"/>
      <c r="I179" s="150"/>
      <c r="J179" s="14"/>
      <c r="K179" s="14"/>
      <c r="L179" s="14"/>
      <c r="M179" s="14"/>
      <c r="N179" s="150"/>
      <c r="O179" s="150"/>
      <c r="P179" s="150"/>
      <c r="Q179" s="150"/>
      <c r="R179" s="150"/>
      <c r="S179" s="150"/>
      <c r="T179" s="150"/>
      <c r="U179" s="31"/>
      <c r="V179" s="14"/>
    </row>
    <row r="180" spans="2:22" x14ac:dyDescent="0.2">
      <c r="B180" s="14"/>
      <c r="C180" s="13"/>
      <c r="D180" s="19"/>
      <c r="E180" s="140" t="s">
        <v>118</v>
      </c>
      <c r="F180" s="141"/>
      <c r="G180" s="141"/>
      <c r="H180" s="138">
        <f>(('[6]Note 23 (L&amp;B)'!$D$26+'[6]Note 23 (L&amp;B)'!$E$26)*1000)+R180-S180</f>
        <v>91011499.999999985</v>
      </c>
      <c r="I180" s="138">
        <v>0</v>
      </c>
      <c r="J180" s="14"/>
      <c r="K180" s="14"/>
      <c r="L180" s="14"/>
      <c r="M180" s="14"/>
      <c r="N180" s="138">
        <v>0</v>
      </c>
      <c r="O180" s="138">
        <v>0</v>
      </c>
      <c r="P180" s="138">
        <v>0</v>
      </c>
      <c r="Q180" s="138">
        <v>0</v>
      </c>
      <c r="R180" s="139">
        <f>SUM(N180:Q180)</f>
        <v>0</v>
      </c>
      <c r="S180" s="138">
        <v>0</v>
      </c>
      <c r="T180" s="215" t="str">
        <f t="shared" ref="T180:T185" si="0">IFERROR(O180/S180,"")</f>
        <v/>
      </c>
      <c r="U180" s="31"/>
      <c r="V180" s="14"/>
    </row>
    <row r="181" spans="2:22" x14ac:dyDescent="0.2">
      <c r="B181" s="14"/>
      <c r="C181" s="13"/>
      <c r="D181" s="19"/>
      <c r="E181" s="140" t="s">
        <v>119</v>
      </c>
      <c r="F181" s="141"/>
      <c r="G181" s="141"/>
      <c r="H181" s="142">
        <f>(('[6]Note 23 (L&amp;B)'!$F$26*1000)+'[7]WIP Fixed Asset Register'!$H$9)+R181-S181</f>
        <v>155000</v>
      </c>
      <c r="I181" s="142">
        <v>0</v>
      </c>
      <c r="J181" s="14"/>
      <c r="K181" s="14"/>
      <c r="L181" s="14"/>
      <c r="M181" s="14"/>
      <c r="N181" s="142">
        <v>0</v>
      </c>
      <c r="O181" s="142">
        <v>0</v>
      </c>
      <c r="P181" s="142">
        <v>0</v>
      </c>
      <c r="Q181" s="142">
        <f>GETPIVOTDATA("Sum of 2017/18",'[4]ESC Cap Wks'!$A$3,"ACCOUNT NAME","Plan for redevelopment of Council freehold land","Statement of Capital Works - Asset Class","Land improvements","Statement of Capital Works - N/R/U","Asset upgrade expenditure")</f>
        <v>75505</v>
      </c>
      <c r="R181" s="143">
        <f t="shared" ref="R181:R202" si="1">SUM(N181:Q181)</f>
        <v>75505</v>
      </c>
      <c r="S181" s="142">
        <v>0</v>
      </c>
      <c r="T181" s="216" t="str">
        <f t="shared" si="0"/>
        <v/>
      </c>
      <c r="U181" s="31"/>
      <c r="V181" s="14"/>
    </row>
    <row r="182" spans="2:22" x14ac:dyDescent="0.2">
      <c r="B182" s="14"/>
      <c r="C182" s="13"/>
      <c r="D182" s="19"/>
      <c r="E182" s="140" t="s">
        <v>120</v>
      </c>
      <c r="F182" s="141"/>
      <c r="G182" s="141"/>
      <c r="H182" s="142">
        <f>(('[6]Note 23 (L&amp;B)'!$J$26*1000)+'[7]WIP Fixed Asset Register'!$H$10+'[7]WIP Fixed Asset Register'!$H$11)+R182-S182</f>
        <v>15873985.880333718</v>
      </c>
      <c r="I182" s="491">
        <v>0.12</v>
      </c>
      <c r="J182" s="14"/>
      <c r="K182" s="14"/>
      <c r="L182" s="14"/>
      <c r="M182" s="14"/>
      <c r="N182" s="142">
        <f>(0.35*(0.5*GETPIVOTDATA("Sum of 2017/18",'[4]ESC Cap Wks'!$A$3,"ACCOUNT NAME","Develop Stage 2 of the Queenscliff Sports &amp; Recreation Precinct Development Plan","Statement of Capital Works - Asset Class","50% Buildings, 47% RL&amp;CF, 3% Roads","Statement of Capital Works - N/R/U","15% renewal, 50% upgrade, 35% new")))+(0.25*(0.5*(SUM('[4]ESC Cap Wks'!$C$17:$C$18))))+(0.85*(0.85*GETPIVOTDATA("Sum of 2017/18",'[4]ESC Cap Wks'!$A$3,"ACCOUNT NAME","Destination Queenscliff Project Management","Statement of Capital Works - Asset Class","85% Buildings, 15% Car Parks","Statement of Capital Works - N/R/U","85% New, 15% Upgrade")))+(SUM(GETPIVOTDATA("Sum of 2017/18",'[4]ESC Cap Wks'!$A$3,"ACCOUNT NAME","New decking at the Queenscliffe Neighbourhood House","Statement of Capital Works - Asset Class","Buildings","Statement of Capital Works - N/R/U","New asset expenditure"),GETPIVOTDATA("Sum of 2017/18",'[4]ESC Cap Wks'!$A$3,"ACCOUNT NAME","Town hall upgrade including solar panels","Statement of Capital Works - Asset Class","Buildings","Statement of Capital Works - N/R/U","New asset expenditure")))</f>
        <v>406730.84524999995</v>
      </c>
      <c r="O182" s="142">
        <f>(0.15*(0.5*GETPIVOTDATA("Sum of 2017/18",'[4]ESC Cap Wks'!$A$3,"ACCOUNT NAME","Develop Stage 2 of the Queenscliff Sports &amp; Recreation Precinct Development Plan","Statement of Capital Works - Asset Class","50% Buildings, 47% RL&amp;CF, 3% Roads","Statement of Capital Works - N/R/U","15% renewal, 50% upgrade, 35% new")))+(0.6*(0.5*(SUM('[4]ESC Cap Wks'!$C$17:$C$18))))+(SUM('[4]ESC Cap Wks'!$C$33:$C$36))</f>
        <v>378490.37225000001</v>
      </c>
      <c r="P182" s="142">
        <v>0</v>
      </c>
      <c r="Q182" s="142">
        <f>(0.5*(0.5*GETPIVOTDATA("Sum of 2017/18",'[4]ESC Cap Wks'!$A$3,"ACCOUNT NAME","Develop Stage 2 of the Queenscliff Sports &amp; Recreation Precinct Development Plan","Statement of Capital Works - Asset Class","50% Buildings, 47% RL&amp;CF, 3% Roads","Statement of Capital Works - N/R/U","15% renewal, 50% upgrade, 35% new")))+(0.15*(0.5*(SUM('[4]ESC Cap Wks'!$C$17:$C$18))))+(0.85*(0.15*GETPIVOTDATA("Sum of 2017/18",'[4]ESC Cap Wks'!$A$3,"ACCOUNT NAME","Destination Queenscliff Project Management","Statement of Capital Works - Asset Class","85% Buildings, 15% Car Parks","Statement of Capital Works - N/R/U","85% New, 15% Upgrade")))+GETPIVOTDATA("Sum of 2017/18",'[4]ESC Cap Wks'!$A$3,"ACCOUNT NAME","Queenscliffe Cultural Hub","Statement of Capital Works - Asset Class","Buildings","Statement of Capital Works - N/R/U","Asset upgrade expenditure")</f>
        <v>478041.8075</v>
      </c>
      <c r="R182" s="143">
        <f t="shared" si="1"/>
        <v>1263263.0249999999</v>
      </c>
      <c r="S182" s="138">
        <f>'[4]ESC Depn by Class'!$D$14+'[4]ESC Depn by Class'!$D$15</f>
        <v>529799.24080000003</v>
      </c>
      <c r="T182" s="216">
        <f t="shared" si="0"/>
        <v>0.71440338736325348</v>
      </c>
      <c r="U182" s="31"/>
      <c r="V182" s="14"/>
    </row>
    <row r="183" spans="2:22" x14ac:dyDescent="0.2">
      <c r="B183" s="14"/>
      <c r="C183" s="13"/>
      <c r="D183" s="19"/>
      <c r="E183" s="140" t="s">
        <v>121</v>
      </c>
      <c r="F183" s="141"/>
      <c r="G183" s="141"/>
      <c r="H183" s="142">
        <v>0</v>
      </c>
      <c r="I183" s="142">
        <v>0</v>
      </c>
      <c r="J183" s="14"/>
      <c r="K183" s="14"/>
      <c r="L183" s="14"/>
      <c r="M183" s="14"/>
      <c r="N183" s="142">
        <v>0</v>
      </c>
      <c r="O183" s="142">
        <v>0</v>
      </c>
      <c r="P183" s="142">
        <v>0</v>
      </c>
      <c r="Q183" s="142">
        <v>0</v>
      </c>
      <c r="R183" s="143">
        <f t="shared" si="1"/>
        <v>0</v>
      </c>
      <c r="S183" s="142">
        <v>0</v>
      </c>
      <c r="T183" s="216" t="str">
        <f t="shared" si="0"/>
        <v/>
      </c>
      <c r="U183" s="31"/>
      <c r="V183" s="14"/>
    </row>
    <row r="184" spans="2:22" x14ac:dyDescent="0.2">
      <c r="B184" s="14"/>
      <c r="C184" s="13"/>
      <c r="D184" s="19"/>
      <c r="E184" s="140" t="s">
        <v>122</v>
      </c>
      <c r="F184" s="141"/>
      <c r="G184" s="141"/>
      <c r="H184" s="142">
        <v>0</v>
      </c>
      <c r="I184" s="142">
        <v>0</v>
      </c>
      <c r="J184" s="14"/>
      <c r="K184" s="14"/>
      <c r="L184" s="14"/>
      <c r="M184" s="14"/>
      <c r="N184" s="142">
        <v>0</v>
      </c>
      <c r="O184" s="142">
        <v>0</v>
      </c>
      <c r="P184" s="142">
        <v>0</v>
      </c>
      <c r="Q184" s="142">
        <v>0</v>
      </c>
      <c r="R184" s="143">
        <f t="shared" si="1"/>
        <v>0</v>
      </c>
      <c r="S184" s="142">
        <v>0</v>
      </c>
      <c r="T184" s="216" t="str">
        <f t="shared" si="0"/>
        <v/>
      </c>
      <c r="U184" s="31"/>
      <c r="V184" s="14"/>
    </row>
    <row r="185" spans="2:22" x14ac:dyDescent="0.2">
      <c r="B185" s="14"/>
      <c r="C185" s="13"/>
      <c r="D185" s="14"/>
      <c r="E185" s="140" t="s">
        <v>123</v>
      </c>
      <c r="F185" s="141"/>
      <c r="G185" s="141"/>
      <c r="H185" s="142">
        <v>0</v>
      </c>
      <c r="I185" s="142">
        <v>0</v>
      </c>
      <c r="J185" s="14"/>
      <c r="K185" s="14"/>
      <c r="L185" s="14"/>
      <c r="M185" s="14"/>
      <c r="N185" s="142">
        <v>0</v>
      </c>
      <c r="O185" s="142">
        <v>0</v>
      </c>
      <c r="P185" s="142">
        <v>0</v>
      </c>
      <c r="Q185" s="142">
        <v>0</v>
      </c>
      <c r="R185" s="143">
        <f t="shared" si="1"/>
        <v>0</v>
      </c>
      <c r="S185" s="142">
        <v>0</v>
      </c>
      <c r="T185" s="216" t="str">
        <f t="shared" si="0"/>
        <v/>
      </c>
      <c r="U185" s="31"/>
      <c r="V185" s="14"/>
    </row>
    <row r="186" spans="2:22" x14ac:dyDescent="0.2">
      <c r="B186" s="14"/>
      <c r="C186" s="13"/>
      <c r="D186" s="14"/>
      <c r="E186" s="144" t="s">
        <v>124</v>
      </c>
      <c r="F186" s="141"/>
      <c r="G186" s="141"/>
      <c r="H186" s="141"/>
      <c r="I186" s="141"/>
      <c r="J186" s="14"/>
      <c r="K186" s="14"/>
      <c r="L186" s="14"/>
      <c r="M186" s="14"/>
      <c r="N186" s="141"/>
      <c r="O186" s="141"/>
      <c r="P186" s="141"/>
      <c r="Q186" s="141"/>
      <c r="R186" s="141"/>
      <c r="S186" s="141"/>
      <c r="T186" s="217"/>
      <c r="U186" s="131"/>
      <c r="V186" s="30"/>
    </row>
    <row r="187" spans="2:22" x14ac:dyDescent="0.2">
      <c r="B187" s="14"/>
      <c r="C187" s="13"/>
      <c r="D187" s="19"/>
      <c r="E187" s="140" t="s">
        <v>125</v>
      </c>
      <c r="F187" s="141"/>
      <c r="G187" s="141"/>
      <c r="H187" s="142">
        <v>0</v>
      </c>
      <c r="I187" s="142">
        <v>0</v>
      </c>
      <c r="J187" s="14"/>
      <c r="K187" s="14"/>
      <c r="L187" s="14"/>
      <c r="M187" s="14"/>
      <c r="N187" s="142">
        <v>0</v>
      </c>
      <c r="O187" s="142">
        <v>0</v>
      </c>
      <c r="P187" s="142">
        <v>0</v>
      </c>
      <c r="Q187" s="142">
        <v>0</v>
      </c>
      <c r="R187" s="143">
        <f t="shared" si="1"/>
        <v>0</v>
      </c>
      <c r="S187" s="142">
        <v>0</v>
      </c>
      <c r="T187" s="216" t="str">
        <f t="shared" ref="T187:T202" si="2">IFERROR(O187/S187,"")</f>
        <v/>
      </c>
      <c r="U187" s="31"/>
      <c r="V187" s="14"/>
    </row>
    <row r="188" spans="2:22" x14ac:dyDescent="0.2">
      <c r="B188" s="14"/>
      <c r="C188" s="13"/>
      <c r="D188" s="19"/>
      <c r="E188" s="140" t="s">
        <v>126</v>
      </c>
      <c r="F188" s="141"/>
      <c r="G188" s="141"/>
      <c r="H188" s="142">
        <f>('[6]Note 23 (P&amp;E)'!$D$26*1000)+R188-S188</f>
        <v>402701.21228511876</v>
      </c>
      <c r="I188" s="491">
        <v>0</v>
      </c>
      <c r="J188" s="14"/>
      <c r="K188" s="14"/>
      <c r="L188" s="14"/>
      <c r="M188" s="14"/>
      <c r="N188" s="142">
        <v>0</v>
      </c>
      <c r="O188" s="142">
        <f>(SUM('[4]ESC Cap Wks'!$C$126:$C$128))</f>
        <v>165000</v>
      </c>
      <c r="P188" s="142">
        <v>0</v>
      </c>
      <c r="Q188" s="142">
        <v>0</v>
      </c>
      <c r="R188" s="143">
        <f t="shared" si="1"/>
        <v>165000</v>
      </c>
      <c r="S188" s="138">
        <f>'[4]ESC Depn by Class'!$D$13</f>
        <v>85100</v>
      </c>
      <c r="T188" s="216">
        <f t="shared" si="2"/>
        <v>1.9388954171562867</v>
      </c>
      <c r="U188" s="31"/>
      <c r="V188" s="14"/>
    </row>
    <row r="189" spans="2:22" x14ac:dyDescent="0.2">
      <c r="B189" s="14"/>
      <c r="C189" s="13"/>
      <c r="D189" s="19"/>
      <c r="E189" s="140" t="s">
        <v>127</v>
      </c>
      <c r="F189" s="141"/>
      <c r="G189" s="141"/>
      <c r="H189" s="142">
        <f>('[6]Note 23 (P&amp;E)'!$E$26*1000)+R189-S189</f>
        <v>63354.922219178174</v>
      </c>
      <c r="I189" s="491">
        <v>0.05</v>
      </c>
      <c r="J189" s="14"/>
      <c r="K189" s="14"/>
      <c r="L189" s="14"/>
      <c r="M189" s="14"/>
      <c r="N189" s="142">
        <v>0</v>
      </c>
      <c r="O189" s="142">
        <f>GETPIVOTDATA("Sum of 2017/18",'[4]ESC Cap Wks'!$A$3,"ACCOUNT NAME","Annual Renewal Program - Renewal Other Assets - Renewal fixtures and fittings","Statement of Capital Works - Asset Class","Fixtures, fittings and furniture","Statement of Capital Works - N/R/U","Asset renewal expenditure")</f>
        <v>5000</v>
      </c>
      <c r="P189" s="142">
        <v>0</v>
      </c>
      <c r="Q189" s="142">
        <v>0</v>
      </c>
      <c r="R189" s="143">
        <f t="shared" si="1"/>
        <v>5000</v>
      </c>
      <c r="S189" s="142">
        <f>'[4]ESC Depn by Class'!$D$12</f>
        <v>29200</v>
      </c>
      <c r="T189" s="216">
        <f t="shared" si="2"/>
        <v>0.17123287671232876</v>
      </c>
      <c r="U189" s="31"/>
      <c r="V189" s="14"/>
    </row>
    <row r="190" spans="2:22" x14ac:dyDescent="0.2">
      <c r="B190" s="14"/>
      <c r="C190" s="13"/>
      <c r="D190" s="19"/>
      <c r="E190" s="140" t="s">
        <v>128</v>
      </c>
      <c r="F190" s="141"/>
      <c r="G190" s="141"/>
      <c r="H190" s="142">
        <f>(('[6]Note 23 (P&amp;E)'!$F$26*1000)+'[7]WIP Fixed Asset Register'!$H$32)+R190-S190</f>
        <v>306145.28515169967</v>
      </c>
      <c r="I190" s="491">
        <v>0</v>
      </c>
      <c r="J190" s="14"/>
      <c r="K190" s="14"/>
      <c r="L190" s="14"/>
      <c r="M190" s="14"/>
      <c r="N190" s="142">
        <v>0</v>
      </c>
      <c r="O190" s="142">
        <f>GETPIVOTDATA("Sum of 2017/18",'[4]ESC Cap Wks'!$A$3,"ACCOUNT NAME","Annual Renewal Program - Renewal Other Assets - Renewal computer and telephone equipment","Statement of Capital Works - Asset Class","Computers and telecommunications","Statement of Capital Works - N/R/U","Asset renewal expenditure")</f>
        <v>30000</v>
      </c>
      <c r="P190" s="142">
        <v>0</v>
      </c>
      <c r="Q190" s="142">
        <v>0</v>
      </c>
      <c r="R190" s="143">
        <f t="shared" si="1"/>
        <v>30000</v>
      </c>
      <c r="S190" s="138">
        <f>'[4]ESC Depn by Class'!$D$11</f>
        <v>18400</v>
      </c>
      <c r="T190" s="216">
        <f t="shared" si="2"/>
        <v>1.6304347826086956</v>
      </c>
      <c r="U190" s="31"/>
      <c r="V190" s="14"/>
    </row>
    <row r="191" spans="2:22" x14ac:dyDescent="0.2">
      <c r="B191" s="14"/>
      <c r="C191" s="13"/>
      <c r="D191" s="19"/>
      <c r="E191" s="140" t="s">
        <v>129</v>
      </c>
      <c r="F191" s="141"/>
      <c r="G191" s="141"/>
      <c r="H191" s="142"/>
      <c r="I191" s="142">
        <v>0</v>
      </c>
      <c r="J191" s="14"/>
      <c r="K191" s="14"/>
      <c r="L191" s="14"/>
      <c r="M191" s="14"/>
      <c r="N191" s="142">
        <v>0</v>
      </c>
      <c r="O191" s="142">
        <v>0</v>
      </c>
      <c r="P191" s="142">
        <v>0</v>
      </c>
      <c r="Q191" s="142">
        <v>0</v>
      </c>
      <c r="R191" s="143">
        <f t="shared" si="1"/>
        <v>0</v>
      </c>
      <c r="S191" s="142">
        <v>0</v>
      </c>
      <c r="T191" s="216" t="str">
        <f t="shared" si="2"/>
        <v/>
      </c>
      <c r="U191" s="31"/>
      <c r="V191" s="14"/>
    </row>
    <row r="192" spans="2:22" ht="12.75" customHeight="1" x14ac:dyDescent="0.2">
      <c r="B192" s="14"/>
      <c r="C192" s="13"/>
      <c r="D192" s="19"/>
      <c r="E192" s="144" t="s">
        <v>130</v>
      </c>
      <c r="F192" s="141"/>
      <c r="G192" s="141"/>
      <c r="H192" s="141"/>
      <c r="I192" s="141"/>
      <c r="J192" s="14"/>
      <c r="K192" s="14"/>
      <c r="L192" s="14"/>
      <c r="M192" s="14"/>
      <c r="N192" s="141"/>
      <c r="O192" s="141"/>
      <c r="P192" s="141"/>
      <c r="Q192" s="141"/>
      <c r="R192" s="141"/>
      <c r="S192" s="141"/>
      <c r="T192" s="217"/>
      <c r="U192" s="31"/>
      <c r="V192" s="14"/>
    </row>
    <row r="193" spans="2:22" ht="12.75" customHeight="1" x14ac:dyDescent="0.2">
      <c r="B193" s="14"/>
      <c r="C193" s="13"/>
      <c r="D193" s="19"/>
      <c r="E193" s="140" t="s">
        <v>131</v>
      </c>
      <c r="F193" s="141"/>
      <c r="G193" s="141"/>
      <c r="H193" s="142">
        <f>(('[6]Note 23 (Infra)'!$D$27*1000)+'[7]WIP Fixed Asset Register'!$H$18)+R193-S193</f>
        <v>11611555.924304137</v>
      </c>
      <c r="I193" s="491">
        <v>0.05</v>
      </c>
      <c r="J193" s="14"/>
      <c r="K193" s="14"/>
      <c r="L193" s="14"/>
      <c r="M193" s="14"/>
      <c r="N193" s="142">
        <f>(0.35*(0.03*GETPIVOTDATA("Sum of 2017/18",'[4]ESC Cap Wks'!$A$3,"ACCOUNT NAME","Develop Stage 2 of the Queenscliff Sports &amp; Recreation Precinct Development Plan","Statement of Capital Works - Asset Class","50% Buildings, 47% RL&amp;CF, 3% Roads","Statement of Capital Works - N/R/U","15% renewal, 50% upgrade, 35% new")))+GETPIVOTDATA("Sum of 2017/18",'[4]ESC Cap Wks'!$A$3,"ACCOUNT NAME","Construction of School Crossing - St. Aloysius Primary School","Statement of Capital Works - Asset Class","Roads","Statement of Capital Works - N/R/U","New asset expenditure")</f>
        <v>29306.535915</v>
      </c>
      <c r="O193" s="142">
        <f>(0.4*(0.4*GETPIVOTDATA("Sum of 2017/18",'[4]ESC Cap Wks'!$A$3,"ACCOUNT NAME","Harbour Street Path, Road &amp; Drainage Improvements","Statement of Capital Works - Asset Class","40% Roads, 40% Footpaths and cycleways, 20% Drainage","Statement of Capital Works - N/R/U","40% renewal, 60% upgrade")))+(0.15*(0.03*GETPIVOTDATA("Sum of 2017/18",'[4]ESC Cap Wks'!$A$3,"ACCOUNT NAME","Develop Stage 2 of the Queenscliff Sports &amp; Recreation Precinct Development Plan","Statement of Capital Works - Asset Class","50% Buildings, 47% RL&amp;CF, 3% Roads","Statement of Capital Works - N/R/U","15% renewal, 50% upgrade, 35% new")))+(SUM('[4]ESC Cap Wks'!$C$148:$C$154))</f>
        <v>360231.37253499997</v>
      </c>
      <c r="P193" s="142">
        <v>0</v>
      </c>
      <c r="Q193" s="142">
        <f>(0.4*(0.6*GETPIVOTDATA("Sum of 2017/18",'[4]ESC Cap Wks'!$A$3,"ACCOUNT NAME","Harbour Street Path, Road &amp; Drainage Improvements","Statement of Capital Works - Asset Class","40% Roads, 40% Footpaths and cycleways, 20% Drainage","Statement of Capital Works - N/R/U","40% renewal, 60% upgrade")))+(0.5*(0.03*GETPIVOTDATA("Sum of 2017/18",'[4]ESC Cap Wks'!$A$3,"ACCOUNT NAME","Develop Stage 2 of the Queenscliff Sports &amp; Recreation Precinct Development Plan","Statement of Capital Works - Asset Class","50% Buildings, 47% RL&amp;CF, 3% Roads","Statement of Capital Works - N/R/U","15% renewal, 50% upgrade, 35% new")))+GETPIVOTDATA("Sum of 2017/18",'[4]ESC Cap Wks'!$A$3,"ACCOUNT NAME","Hesse Street Streetscape","Statement of Capital Works - Asset Class","Roads","Statement of Capital Works - N/R/U","Asset upgrade expenditure")</f>
        <v>79637.908450000003</v>
      </c>
      <c r="R193" s="143">
        <f t="shared" si="1"/>
        <v>469175.81689999998</v>
      </c>
      <c r="S193" s="138">
        <f>'[4]ESC Depn by Class'!$D$7+'[4]ESC Depn by Class'!$D$8</f>
        <v>254500</v>
      </c>
      <c r="T193" s="216">
        <f t="shared" si="2"/>
        <v>1.4154474362868368</v>
      </c>
      <c r="U193" s="31"/>
      <c r="V193" s="14"/>
    </row>
    <row r="194" spans="2:22" ht="12.75" customHeight="1" x14ac:dyDescent="0.2">
      <c r="B194" s="14"/>
      <c r="C194" s="13"/>
      <c r="D194" s="19"/>
      <c r="E194" s="140" t="s">
        <v>132</v>
      </c>
      <c r="F194" s="141"/>
      <c r="G194" s="141"/>
      <c r="H194" s="142">
        <v>0</v>
      </c>
      <c r="I194" s="491">
        <v>0</v>
      </c>
      <c r="J194" s="14"/>
      <c r="K194" s="14"/>
      <c r="L194" s="14"/>
      <c r="M194" s="14"/>
      <c r="N194" s="142">
        <v>0</v>
      </c>
      <c r="O194" s="142">
        <v>0</v>
      </c>
      <c r="P194" s="142">
        <v>0</v>
      </c>
      <c r="Q194" s="142">
        <v>0</v>
      </c>
      <c r="R194" s="143">
        <f t="shared" si="1"/>
        <v>0</v>
      </c>
      <c r="S194" s="138">
        <v>0</v>
      </c>
      <c r="T194" s="216" t="str">
        <f t="shared" si="2"/>
        <v/>
      </c>
      <c r="U194" s="31"/>
      <c r="V194" s="14"/>
    </row>
    <row r="195" spans="2:22" ht="12.75" customHeight="1" x14ac:dyDescent="0.2">
      <c r="B195" s="14"/>
      <c r="C195" s="13"/>
      <c r="D195" s="19"/>
      <c r="E195" s="140" t="s">
        <v>133</v>
      </c>
      <c r="F195" s="141"/>
      <c r="G195" s="141"/>
      <c r="H195" s="142">
        <f>('[6]Note 23 (Infra)'!$E$27*1000)+R195-S195</f>
        <v>1041334.0129316943</v>
      </c>
      <c r="I195" s="491">
        <v>0.1</v>
      </c>
      <c r="J195" s="14"/>
      <c r="K195" s="14"/>
      <c r="L195" s="14"/>
      <c r="M195" s="14"/>
      <c r="N195" s="142">
        <v>0</v>
      </c>
      <c r="O195" s="142">
        <f>(0.4*(0.4*GETPIVOTDATA("Sum of 2017/18",'[4]ESC Cap Wks'!$A$3,"ACCOUNT NAME","Harbour Street Path, Road &amp; Drainage Improvements","Statement of Capital Works - Asset Class","40% Roads, 40% Footpaths and cycleways, 20% Drainage","Statement of Capital Works - N/R/U","40% renewal, 60% upgrade")))+(0.5*GETPIVOTDATA("Sum of 2017/18",'[4]ESC Cap Wks'!$A$3,"ACCOUNT NAME","Footpath Strategy","Statement of Capital Works - Asset Class","Footpaths and cycleways","Statement of Capital Works - N/R/U","50% renewal, 50% upgrade"))+GETPIVOTDATA("Sum of 2017/18",'[4]ESC Cap Wks'!$A$3,"ACCOUNT NAME","Annual Renewal Program - Renewal Infrastructure - Renewal Footpaths","Statement of Capital Works - Asset Class","Footpaths and cycleways","Statement of Capital Works - N/R/U","Asset renewal expenditure")</f>
        <v>34800</v>
      </c>
      <c r="P195" s="142">
        <v>0</v>
      </c>
      <c r="Q195" s="142">
        <f>(0.4*(0.6*GETPIVOTDATA("Sum of 2017/18",'[4]ESC Cap Wks'!$A$3,"ACCOUNT NAME","Harbour Street Path, Road &amp; Drainage Improvements","Statement of Capital Works - Asset Class","40% Roads, 40% Footpaths and cycleways, 20% Drainage","Statement of Capital Works - N/R/U","40% renewal, 60% upgrade")))+(0.5*GETPIVOTDATA("Sum of 2017/18",'[4]ESC Cap Wks'!$A$3,"ACCOUNT NAME","Footpath Strategy","Statement of Capital Works - Asset Class","Footpaths and cycleways","Statement of Capital Works - N/R/U","50% renewal, 50% upgrade"))</f>
        <v>29200</v>
      </c>
      <c r="R195" s="143">
        <f t="shared" si="1"/>
        <v>64000</v>
      </c>
      <c r="S195" s="138">
        <f>'[4]ESC Depn by Class'!$D$5</f>
        <v>30000</v>
      </c>
      <c r="T195" s="216">
        <f t="shared" si="2"/>
        <v>1.1599999999999999</v>
      </c>
      <c r="U195" s="31"/>
      <c r="V195" s="14"/>
    </row>
    <row r="196" spans="2:22" ht="12.75" customHeight="1" x14ac:dyDescent="0.2">
      <c r="B196" s="14"/>
      <c r="C196" s="13"/>
      <c r="D196" s="19"/>
      <c r="E196" s="140" t="s">
        <v>134</v>
      </c>
      <c r="F196" s="141"/>
      <c r="G196" s="141"/>
      <c r="H196" s="142">
        <f>('[6]Note 23 (Infra)'!$F$27*1000)+R196-S196</f>
        <v>2384204.9331474127</v>
      </c>
      <c r="I196" s="491">
        <v>0.05</v>
      </c>
      <c r="J196" s="14"/>
      <c r="K196" s="14"/>
      <c r="L196" s="14"/>
      <c r="M196" s="14"/>
      <c r="N196" s="142">
        <v>0</v>
      </c>
      <c r="O196" s="142">
        <f>(0.2*(0.4*GETPIVOTDATA("Sum of 2017/18",'[4]ESC Cap Wks'!$A$3,"ACCOUNT NAME","Harbour Street Path, Road &amp; Drainage Improvements","Statement of Capital Works - Asset Class","40% Roads, 40% Footpaths and cycleways, 20% Drainage","Statement of Capital Works - N/R/U","40% renewal, 60% upgrade")))+GETPIVOTDATA("Sum of 2017/18",'[4]ESC Cap Wks'!$A$3,"ACCOUNT NAME","Annual Renewal Program - Renewal Infrastructure - Renewal Drainage","Statement of Capital Works - Asset Class","Drainage","Statement of Capital Works - N/R/U","Asset renewal expenditure")</f>
        <v>57100</v>
      </c>
      <c r="P196" s="142">
        <v>0</v>
      </c>
      <c r="Q196" s="142">
        <f>(0.2*(0.6*GETPIVOTDATA("Sum of 2017/18",'[4]ESC Cap Wks'!$A$3,"ACCOUNT NAME","Harbour Street Path, Road &amp; Drainage Improvements","Statement of Capital Works - Asset Class","40% Roads, 40% Footpaths and cycleways, 20% Drainage","Statement of Capital Works - N/R/U","40% renewal, 60% upgrade")))</f>
        <v>9600</v>
      </c>
      <c r="R196" s="143">
        <f t="shared" si="1"/>
        <v>66700</v>
      </c>
      <c r="S196" s="138">
        <f>'[4]ESC Depn by Class'!$D$4</f>
        <v>44600</v>
      </c>
      <c r="T196" s="216">
        <f t="shared" si="2"/>
        <v>1.2802690582959642</v>
      </c>
      <c r="U196" s="31"/>
      <c r="V196" s="14"/>
    </row>
    <row r="197" spans="2:22" ht="12.75" customHeight="1" x14ac:dyDescent="0.2">
      <c r="B197" s="14"/>
      <c r="C197" s="13"/>
      <c r="D197" s="19"/>
      <c r="E197" s="140" t="s">
        <v>135</v>
      </c>
      <c r="F197" s="141"/>
      <c r="G197" s="141"/>
      <c r="H197" s="142">
        <f>(('[6]Note 23 (Infra)'!$G$27*1000)+(SUM('[7]WIP Fixed Asset Register'!$H$20:$H$22)))+R197-S197</f>
        <v>2601251.7831558902</v>
      </c>
      <c r="I197" s="491">
        <v>0.15</v>
      </c>
      <c r="J197" s="14"/>
      <c r="K197" s="14"/>
      <c r="L197" s="14"/>
      <c r="M197" s="14"/>
      <c r="N197" s="142">
        <f>(0.35*(0.47*GETPIVOTDATA("Sum of 2017/18",'[4]ESC Cap Wks'!$A$3,"ACCOUNT NAME","Develop Stage 2 of the Queenscliff Sports &amp; Recreation Precinct Development Plan","Statement of Capital Works - Asset Class","50% Buildings, 47% RL&amp;CF, 3% Roads","Statement of Capital Works - N/R/U","15% renewal, 50% upgrade, 35% new")))+(0.25*(0.5*(SUM('[4]ESC Cap Wks'!$C$17:$C$18))))</f>
        <v>249298.22933499995</v>
      </c>
      <c r="O197" s="142">
        <f>(0.15*(0.47*GETPIVOTDATA("Sum of 2017/18",'[4]ESC Cap Wks'!$A$3,"ACCOUNT NAME","Develop Stage 2 of the Queenscliff Sports &amp; Recreation Precinct Development Plan","Statement of Capital Works - Asset Class","50% Buildings, 47% RL&amp;CF, 3% Roads","Statement of Capital Works - N/R/U","15% renewal, 50% upgrade, 35% new")))+(0.6*(0.5*(SUM('[4]ESC Cap Wks'!$C$17:$C$18))))+(SUM('[4]ESC Cap Wks'!$C$133:$C$137))</f>
        <v>206448.16971499997</v>
      </c>
      <c r="P197" s="142">
        <v>0</v>
      </c>
      <c r="Q197" s="142">
        <f>(0.5*(0.47*GETPIVOTDATA("Sum of 2017/18",'[4]ESC Cap Wks'!$A$3,"ACCOUNT NAME","Develop Stage 2 of the Queenscliff Sports &amp; Recreation Precinct Development Plan","Statement of Capital Works - Asset Class","50% Buildings, 47% RL&amp;CF, 3% Roads","Statement of Capital Works - N/R/U","15% renewal, 50% upgrade, 35% new")))+(0.15*(0.5*(SUM('[4]ESC Cap Wks'!$C$17:$C$18))))+GETPIVOTDATA("Sum of 2017/18",'[4]ESC Cap Wks'!$A$3,"ACCOUNT NAME","Plan for park to focus on children and families","Statement of Capital Works - Asset Class","Recreational, leisure and community facilities","Statement of Capital Works - N/R/U","Asset upgrade expenditure")</f>
        <v>375291.39904999995</v>
      </c>
      <c r="R197" s="143">
        <f t="shared" si="1"/>
        <v>831037.79809999978</v>
      </c>
      <c r="S197" s="138">
        <f>'[4]ESC Depn by Class'!$D$9</f>
        <v>91300</v>
      </c>
      <c r="T197" s="216">
        <f t="shared" si="2"/>
        <v>2.2612066781489593</v>
      </c>
      <c r="U197" s="31"/>
      <c r="V197" s="14"/>
    </row>
    <row r="198" spans="2:22" ht="12.75" customHeight="1" x14ac:dyDescent="0.2">
      <c r="B198" s="14"/>
      <c r="C198" s="13"/>
      <c r="D198" s="19"/>
      <c r="E198" s="140" t="s">
        <v>136</v>
      </c>
      <c r="F198" s="141"/>
      <c r="G198" s="141"/>
      <c r="H198" s="142">
        <f>('[6]Note 23 (Infra)'!$H$27*1000)+R198-S198</f>
        <v>131482.97000000003</v>
      </c>
      <c r="I198" s="142">
        <v>0</v>
      </c>
      <c r="J198" s="14"/>
      <c r="K198" s="14"/>
      <c r="L198" s="14"/>
      <c r="M198" s="14"/>
      <c r="N198" s="142">
        <v>0</v>
      </c>
      <c r="O198" s="142">
        <v>0</v>
      </c>
      <c r="P198" s="142">
        <v>0</v>
      </c>
      <c r="Q198" s="142">
        <v>0</v>
      </c>
      <c r="R198" s="143">
        <f t="shared" si="1"/>
        <v>0</v>
      </c>
      <c r="S198" s="142">
        <f>'[4]ESC Depn by Class'!$D$2</f>
        <v>18500</v>
      </c>
      <c r="T198" s="216">
        <f t="shared" si="2"/>
        <v>0</v>
      </c>
      <c r="U198" s="31"/>
      <c r="V198" s="14"/>
    </row>
    <row r="199" spans="2:22" ht="12.75" customHeight="1" x14ac:dyDescent="0.2">
      <c r="B199" s="14"/>
      <c r="C199" s="13"/>
      <c r="D199" s="19"/>
      <c r="E199" s="140" t="s">
        <v>137</v>
      </c>
      <c r="F199" s="141"/>
      <c r="G199" s="141"/>
      <c r="H199" s="142">
        <f>(('[6]Note 23 (Infra)'!$I$27*1000)+(SUM('[7]WIP Fixed Asset Register'!$H$24:$H$25)))+R199-S199</f>
        <v>2438269.3290558904</v>
      </c>
      <c r="I199" s="491">
        <v>0.02</v>
      </c>
      <c r="J199" s="14"/>
      <c r="K199" s="14"/>
      <c r="L199" s="14"/>
      <c r="M199" s="14"/>
      <c r="N199" s="142">
        <f>(0.3*GETPIVOTDATA("Sum of 2017/18",'[4]ESC Cap Wks'!$A$3,"ACCOUNT NAME","Destination Queenscliffe Stage 1","Statement of Capital Works - Asset Class","Parks, open space and streetscapes","Statement of Capital Works - N/R/U","60% renewal, 10% upgrade, 30% new"))+(SUM(GETPIVOTDATA("Sum of 2017/18",'[4]ESC Cap Wks'!$A$3,"ACCOUNT NAME","Point Lonsdale Lighthouse Reserve","Statement of Capital Works - Asset Class","Parks, open space and streetscapes","Statement of Capital Works - N/R/U","New asset expenditure"),GETPIVOTDATA("Sum of 2017/18",'[4]ESC Cap Wks'!$A$3,"ACCOUNT NAME","Queenscliff Park Stage 1 Improvements","Statement of Capital Works - Asset Class","Parks, open space and streetscapes","Statement of Capital Works - N/R/U","New asset expenditure")))</f>
        <v>659450.30000000005</v>
      </c>
      <c r="O199" s="142">
        <f>(0.6*GETPIVOTDATA("Sum of 2017/18",'[4]ESC Cap Wks'!$A$3,"ACCOUNT NAME","Destination Queenscliffe Stage 1","Statement of Capital Works - Asset Class","Parks, open space and streetscapes","Statement of Capital Works - N/R/U","60% renewal, 10% upgrade, 30% new"))+(SUM('[4]ESC Cap Wks'!$C$114:$C$116))</f>
        <v>255967.75</v>
      </c>
      <c r="P199" s="142">
        <v>0</v>
      </c>
      <c r="Q199" s="142">
        <f>(0.1*GETPIVOTDATA("Sum of 2017/18",'[4]ESC Cap Wks'!$A$3,"ACCOUNT NAME","Destination Queenscliffe Stage 1","Statement of Capital Works - Asset Class","Parks, open space and streetscapes","Statement of Capital Works - N/R/U","60% renewal, 10% upgrade, 30% new"))</f>
        <v>34895.1</v>
      </c>
      <c r="R199" s="143">
        <f t="shared" si="1"/>
        <v>950313.15</v>
      </c>
      <c r="S199" s="142">
        <f>'[4]ESC Depn by Class'!$D$10</f>
        <v>69800</v>
      </c>
      <c r="T199" s="216">
        <f t="shared" si="2"/>
        <v>3.6671597421203437</v>
      </c>
      <c r="U199" s="31"/>
      <c r="V199" s="14"/>
    </row>
    <row r="200" spans="2:22" ht="12.75" customHeight="1" x14ac:dyDescent="0.2">
      <c r="B200" s="14"/>
      <c r="C200" s="13"/>
      <c r="D200" s="19"/>
      <c r="E200" s="140" t="s">
        <v>138</v>
      </c>
      <c r="F200" s="141"/>
      <c r="G200" s="141"/>
      <c r="H200" s="142">
        <v>0</v>
      </c>
      <c r="I200" s="491">
        <v>0</v>
      </c>
      <c r="J200" s="14"/>
      <c r="K200" s="14"/>
      <c r="L200" s="14"/>
      <c r="M200" s="14"/>
      <c r="N200" s="142">
        <v>0</v>
      </c>
      <c r="O200" s="142">
        <v>0</v>
      </c>
      <c r="P200" s="142">
        <v>0</v>
      </c>
      <c r="Q200" s="142">
        <v>0</v>
      </c>
      <c r="R200" s="143">
        <f t="shared" si="1"/>
        <v>0</v>
      </c>
      <c r="S200" s="142">
        <v>0</v>
      </c>
      <c r="T200" s="216" t="str">
        <f t="shared" si="2"/>
        <v/>
      </c>
      <c r="U200" s="31"/>
      <c r="V200" s="14"/>
    </row>
    <row r="201" spans="2:22" ht="12.75" customHeight="1" x14ac:dyDescent="0.2">
      <c r="B201" s="14"/>
      <c r="C201" s="13"/>
      <c r="D201" s="19"/>
      <c r="E201" s="145" t="s">
        <v>139</v>
      </c>
      <c r="F201" s="146"/>
      <c r="G201" s="146"/>
      <c r="H201" s="142">
        <f>('[6]Note 23 (Infra)'!$J$27*1000)+R201-S201</f>
        <v>542427.00240504916</v>
      </c>
      <c r="I201" s="491">
        <v>0</v>
      </c>
      <c r="J201" s="14"/>
      <c r="K201" s="14"/>
      <c r="L201" s="14"/>
      <c r="M201" s="14"/>
      <c r="N201" s="142">
        <f>(0.15*(0.85*GETPIVOTDATA("Sum of 2017/18",'[4]ESC Cap Wks'!$A$3,"ACCOUNT NAME","Destination Queenscliff Project Management","Statement of Capital Works - Asset Class","85% Buildings, 15% Car Parks","Statement of Capital Works - N/R/U","85% New, 15% Upgrade")))</f>
        <v>22312.5</v>
      </c>
      <c r="O201" s="142">
        <v>0</v>
      </c>
      <c r="P201" s="142">
        <v>0</v>
      </c>
      <c r="Q201" s="142">
        <f>(0.15*(0.15*GETPIVOTDATA("Sum of 2017/18",'[4]ESC Cap Wks'!$A$3,"ACCOUNT NAME","Destination Queenscliff Project Management","Statement of Capital Works - Asset Class","85% Buildings, 15% Car Parks","Statement of Capital Works - N/R/U","85% New, 15% Upgrade")))</f>
        <v>3937.5</v>
      </c>
      <c r="R201" s="148">
        <f t="shared" si="1"/>
        <v>26250</v>
      </c>
      <c r="S201" s="147">
        <f>'[4]ESC Depn by Class'!$D$6</f>
        <v>13400</v>
      </c>
      <c r="T201" s="218">
        <f t="shared" si="2"/>
        <v>0</v>
      </c>
      <c r="U201" s="31"/>
      <c r="V201" s="14"/>
    </row>
    <row r="202" spans="2:22" ht="13.5" thickBot="1" x14ac:dyDescent="0.25">
      <c r="B202" s="14"/>
      <c r="C202" s="13"/>
      <c r="D202" s="19"/>
      <c r="E202" s="132" t="s">
        <v>140</v>
      </c>
      <c r="F202" s="133"/>
      <c r="G202" s="133"/>
      <c r="H202" s="134">
        <f>('[6]Note 23 (Infra)'!$K$27*1000)+R202-S202</f>
        <v>680962.57804931502</v>
      </c>
      <c r="I202" s="134"/>
      <c r="J202" s="14"/>
      <c r="K202" s="14"/>
      <c r="L202" s="14"/>
      <c r="M202" s="14"/>
      <c r="N202" s="134">
        <f>SUM('[4]ESC Cap Wks'!$C$106:$C$107)</f>
        <v>216000</v>
      </c>
      <c r="O202" s="134">
        <f>SUM(GETPIVOTDATA("Sum of 2017/18",'[4]ESC Cap Wks'!$A$3,"ACCOUNT NAME","Council Contribution to Point Lonsdale Tennis Club lighting","Statement of Capital Works - Asset Class","Other infrastructure","Statement of Capital Works - N/R/U","Asset renewal expenditure"),GETPIVOTDATA("Sum of 2017/18",'[4]ESC Cap Wks'!$A$3,"ACCOUNT NAME","Towns entry and main road tourism signage plan","Statement of Capital Works - Asset Class","Other infrastructure","Statement of Capital Works - N/R/U","Asset renewal expenditure"))</f>
        <v>48647.07</v>
      </c>
      <c r="P202" s="134">
        <v>0</v>
      </c>
      <c r="Q202" s="134">
        <f>SUM('[4]ESC Cap Wks'!$C$95:$C$96)</f>
        <v>20000</v>
      </c>
      <c r="R202" s="135">
        <f t="shared" si="1"/>
        <v>284647.07</v>
      </c>
      <c r="S202" s="134">
        <f>'[4]ESC Depn by Class'!$D$3</f>
        <v>12000</v>
      </c>
      <c r="T202" s="219">
        <f t="shared" si="2"/>
        <v>4.0539224999999997</v>
      </c>
      <c r="U202" s="31"/>
      <c r="V202" s="14"/>
    </row>
    <row r="203" spans="2:22" ht="13.5" thickTop="1" x14ac:dyDescent="0.2">
      <c r="B203" s="14"/>
      <c r="C203" s="13"/>
      <c r="D203" s="14"/>
      <c r="E203" s="136"/>
      <c r="F203" s="137" t="s">
        <v>87</v>
      </c>
      <c r="G203" s="129"/>
      <c r="H203" s="57">
        <f>SUM(H180:H202)</f>
        <v>129244175.83303909</v>
      </c>
      <c r="I203" s="57"/>
      <c r="J203" s="14"/>
      <c r="K203" s="14"/>
      <c r="L203" s="14"/>
      <c r="M203" s="14"/>
      <c r="N203" s="57">
        <f t="shared" ref="N203:S203" si="3">SUM(N180:N202)</f>
        <v>1583098.4105</v>
      </c>
      <c r="O203" s="57">
        <f t="shared" si="3"/>
        <v>1541684.7345</v>
      </c>
      <c r="P203" s="57">
        <f t="shared" si="3"/>
        <v>0</v>
      </c>
      <c r="Q203" s="57">
        <f t="shared" si="3"/>
        <v>1106108.7150000001</v>
      </c>
      <c r="R203" s="57">
        <f t="shared" si="3"/>
        <v>4230891.8599999994</v>
      </c>
      <c r="S203" s="57">
        <f t="shared" si="3"/>
        <v>1196599.2408</v>
      </c>
      <c r="T203" s="127"/>
      <c r="U203" s="31"/>
      <c r="V203" s="14"/>
    </row>
    <row r="204" spans="2:22" ht="13.5" thickBot="1" x14ac:dyDescent="0.25">
      <c r="B204" s="14"/>
      <c r="C204" s="117"/>
      <c r="D204" s="33"/>
      <c r="E204" s="33"/>
      <c r="F204" s="33"/>
      <c r="G204" s="33"/>
      <c r="H204" s="33"/>
      <c r="I204" s="33"/>
      <c r="J204" s="33"/>
      <c r="K204" s="36"/>
      <c r="L204" s="36"/>
      <c r="M204" s="36"/>
      <c r="N204" s="36"/>
      <c r="O204" s="36"/>
      <c r="P204" s="36"/>
      <c r="Q204" s="36"/>
      <c r="R204" s="36"/>
      <c r="S204" s="36"/>
      <c r="T204" s="36"/>
      <c r="U204" s="121"/>
      <c r="V204" s="14"/>
    </row>
    <row r="205" spans="2:22" x14ac:dyDescent="0.2">
      <c r="B205" s="14"/>
      <c r="C205" s="14"/>
      <c r="F205" s="6"/>
      <c r="G205" s="6"/>
      <c r="I205" s="38"/>
      <c r="J205" s="38"/>
      <c r="K205" s="38"/>
      <c r="L205" s="38"/>
      <c r="M205" s="38"/>
      <c r="N205" s="38"/>
      <c r="O205" s="38"/>
      <c r="P205" s="38"/>
      <c r="Q205" s="38"/>
      <c r="R205" s="38"/>
      <c r="S205" s="38"/>
      <c r="T205" s="38"/>
      <c r="U205" s="14"/>
      <c r="V205" s="14"/>
    </row>
    <row r="206" spans="2:22" x14ac:dyDescent="0.2">
      <c r="E206" s="6"/>
      <c r="F206" s="6"/>
      <c r="G206" s="6"/>
      <c r="H206" s="206"/>
      <c r="I206" s="38"/>
      <c r="J206" s="38"/>
      <c r="K206" s="38"/>
      <c r="L206" s="38"/>
      <c r="M206" s="38"/>
      <c r="N206" s="38"/>
      <c r="O206" s="38"/>
      <c r="P206" s="38"/>
      <c r="Q206" s="38"/>
      <c r="R206" s="38"/>
      <c r="S206" s="38"/>
      <c r="T206" s="38"/>
    </row>
    <row r="207" spans="2:22" ht="12" customHeight="1" x14ac:dyDescent="0.2">
      <c r="E207" s="6"/>
      <c r="F207" s="6"/>
      <c r="G207" s="6"/>
    </row>
    <row r="208" spans="2:22" ht="12" customHeight="1" x14ac:dyDescent="0.2">
      <c r="E208" s="6"/>
      <c r="F208" s="6"/>
      <c r="G208" s="6"/>
    </row>
    <row r="209" spans="5:7" ht="12" customHeight="1" x14ac:dyDescent="0.2">
      <c r="E209" s="6"/>
      <c r="F209" s="6"/>
      <c r="G209" s="6"/>
    </row>
    <row r="210" spans="5:7" ht="12" customHeight="1" x14ac:dyDescent="0.2">
      <c r="E210" s="6"/>
      <c r="F210" s="6"/>
      <c r="G210" s="6"/>
    </row>
    <row r="211" spans="5:7" ht="12" customHeight="1" x14ac:dyDescent="0.2">
      <c r="E211" s="6"/>
      <c r="F211" s="6"/>
      <c r="G211" s="6"/>
    </row>
    <row r="212" spans="5:7" x14ac:dyDescent="0.2">
      <c r="E212" s="6"/>
      <c r="F212" s="6"/>
      <c r="G212" s="6"/>
    </row>
    <row r="213" spans="5:7" ht="12.6" customHeight="1" x14ac:dyDescent="0.2">
      <c r="E213" s="6"/>
      <c r="F213" s="6"/>
      <c r="G213" s="6"/>
    </row>
    <row r="214" spans="5:7" x14ac:dyDescent="0.2">
      <c r="E214" s="6"/>
      <c r="F214" s="6"/>
      <c r="G214" s="6"/>
    </row>
    <row r="215" spans="5:7" x14ac:dyDescent="0.2">
      <c r="E215" s="6"/>
      <c r="F215" s="6"/>
      <c r="G215" s="6"/>
    </row>
    <row r="216" spans="5:7" x14ac:dyDescent="0.2">
      <c r="E216" s="6"/>
      <c r="F216" s="6"/>
      <c r="G216" s="6"/>
    </row>
    <row r="217" spans="5:7" x14ac:dyDescent="0.2">
      <c r="E217" s="6"/>
      <c r="F217" s="6"/>
      <c r="G217" s="6"/>
    </row>
    <row r="218" spans="5:7" x14ac:dyDescent="0.2">
      <c r="E218" s="6"/>
      <c r="F218" s="6"/>
      <c r="G218" s="6"/>
    </row>
    <row r="219" spans="5:7" x14ac:dyDescent="0.2">
      <c r="E219" s="6"/>
      <c r="F219" s="6"/>
      <c r="G219" s="6"/>
    </row>
    <row r="220" spans="5:7" x14ac:dyDescent="0.2">
      <c r="E220" s="6"/>
      <c r="F220" s="6"/>
      <c r="G220" s="6"/>
    </row>
    <row r="221" spans="5:7" x14ac:dyDescent="0.2">
      <c r="E221" s="6"/>
      <c r="F221" s="6"/>
      <c r="G221" s="6"/>
    </row>
    <row r="222" spans="5:7" x14ac:dyDescent="0.2">
      <c r="E222" s="6"/>
      <c r="F222" s="6"/>
      <c r="G222" s="6"/>
    </row>
    <row r="223" spans="5:7" x14ac:dyDescent="0.2">
      <c r="E223" s="6"/>
      <c r="F223" s="6"/>
      <c r="G223" s="6"/>
    </row>
    <row r="224" spans="5:7" x14ac:dyDescent="0.2">
      <c r="E224" s="6"/>
      <c r="F224" s="6"/>
      <c r="G224" s="6"/>
    </row>
    <row r="225" spans="5:7" x14ac:dyDescent="0.2">
      <c r="E225" s="6"/>
      <c r="F225" s="6"/>
      <c r="G225" s="6"/>
    </row>
    <row r="226" spans="5:7" x14ac:dyDescent="0.2">
      <c r="E226" s="6"/>
      <c r="F226" s="6"/>
      <c r="G226" s="6"/>
    </row>
    <row r="227" spans="5:7" x14ac:dyDescent="0.2">
      <c r="E227" s="6"/>
      <c r="F227" s="6"/>
      <c r="G227" s="6"/>
    </row>
    <row r="228" spans="5:7" x14ac:dyDescent="0.2">
      <c r="E228" s="6"/>
      <c r="F228" s="6"/>
      <c r="G228" s="6"/>
    </row>
    <row r="229" spans="5:7" x14ac:dyDescent="0.2">
      <c r="E229" s="6"/>
      <c r="F229" s="6"/>
      <c r="G229" s="6"/>
    </row>
    <row r="230" spans="5:7" x14ac:dyDescent="0.2">
      <c r="E230" s="6"/>
      <c r="F230" s="6"/>
      <c r="G230" s="6"/>
    </row>
    <row r="231" spans="5:7" x14ac:dyDescent="0.2">
      <c r="E231" s="6"/>
      <c r="F231" s="6"/>
      <c r="G231" s="6"/>
    </row>
    <row r="232" spans="5:7" x14ac:dyDescent="0.2">
      <c r="E232" s="6"/>
      <c r="F232" s="6"/>
      <c r="G232" s="6"/>
    </row>
    <row r="233" spans="5:7" x14ac:dyDescent="0.2">
      <c r="E233" s="6"/>
      <c r="F233" s="6"/>
      <c r="G233" s="6"/>
    </row>
    <row r="234" spans="5:7" x14ac:dyDescent="0.2">
      <c r="E234" s="6"/>
      <c r="F234" s="6"/>
      <c r="G234" s="6"/>
    </row>
    <row r="235" spans="5:7" x14ac:dyDescent="0.2">
      <c r="E235" s="6"/>
      <c r="F235" s="6"/>
      <c r="G235" s="6"/>
    </row>
    <row r="236" spans="5:7" x14ac:dyDescent="0.2">
      <c r="E236" s="6"/>
      <c r="F236" s="6"/>
      <c r="G236" s="6"/>
    </row>
    <row r="237" spans="5:7" x14ac:dyDescent="0.2">
      <c r="E237" s="6"/>
      <c r="F237" s="6"/>
      <c r="G237" s="6"/>
    </row>
    <row r="238" spans="5:7" x14ac:dyDescent="0.2">
      <c r="E238" s="6"/>
      <c r="F238" s="6"/>
      <c r="G238" s="6"/>
    </row>
    <row r="239" spans="5:7" x14ac:dyDescent="0.2">
      <c r="E239" s="6"/>
      <c r="F239" s="6"/>
      <c r="G239" s="6"/>
    </row>
    <row r="240" spans="5:7" x14ac:dyDescent="0.2">
      <c r="E240" s="6"/>
      <c r="F240" s="6"/>
      <c r="G240" s="6"/>
    </row>
    <row r="241" spans="5:7" x14ac:dyDescent="0.2">
      <c r="E241" s="6"/>
      <c r="F241" s="6"/>
      <c r="G241" s="6"/>
    </row>
    <row r="242" spans="5:7" x14ac:dyDescent="0.2">
      <c r="E242" s="6"/>
      <c r="F242" s="6"/>
      <c r="G242" s="6"/>
    </row>
    <row r="243" spans="5:7" x14ac:dyDescent="0.2">
      <c r="E243" s="6"/>
      <c r="F243" s="6"/>
      <c r="G243" s="6"/>
    </row>
    <row r="244" spans="5:7" x14ac:dyDescent="0.2">
      <c r="E244" s="6"/>
      <c r="F244" s="6"/>
      <c r="G244" s="6"/>
    </row>
    <row r="245" spans="5:7" x14ac:dyDescent="0.2">
      <c r="E245" s="6"/>
      <c r="F245" s="6"/>
      <c r="G245" s="6"/>
    </row>
    <row r="246" spans="5:7" x14ac:dyDescent="0.2">
      <c r="E246" s="6"/>
      <c r="F246" s="6"/>
      <c r="G246" s="6"/>
    </row>
    <row r="247" spans="5:7" x14ac:dyDescent="0.2">
      <c r="E247" s="6"/>
      <c r="F247" s="6"/>
      <c r="G247" s="6"/>
    </row>
    <row r="248" spans="5:7" x14ac:dyDescent="0.2">
      <c r="E248" s="6"/>
      <c r="F248" s="6"/>
      <c r="G248" s="6"/>
    </row>
    <row r="249" spans="5:7" x14ac:dyDescent="0.2">
      <c r="E249" s="6"/>
      <c r="F249" s="6"/>
      <c r="G249" s="6"/>
    </row>
    <row r="250" spans="5:7" x14ac:dyDescent="0.2">
      <c r="E250" s="6"/>
      <c r="F250" s="6"/>
      <c r="G250" s="6"/>
    </row>
    <row r="251" spans="5:7" x14ac:dyDescent="0.2">
      <c r="E251" s="6"/>
      <c r="F251" s="6"/>
      <c r="G251" s="6"/>
    </row>
    <row r="252" spans="5:7" ht="12.75" customHeight="1" x14ac:dyDescent="0.2">
      <c r="E252" s="6"/>
      <c r="F252" s="6"/>
      <c r="G252" s="6"/>
    </row>
    <row r="253" spans="5:7" ht="12.75" customHeight="1" x14ac:dyDescent="0.2">
      <c r="E253" s="6"/>
      <c r="F253" s="6"/>
      <c r="G253" s="6"/>
    </row>
    <row r="254" spans="5:7" ht="12.75" customHeight="1" x14ac:dyDescent="0.2">
      <c r="E254" s="6"/>
      <c r="F254" s="6"/>
      <c r="G254" s="6"/>
    </row>
    <row r="255" spans="5:7" ht="12.75" customHeight="1" x14ac:dyDescent="0.2">
      <c r="E255" s="6"/>
      <c r="F255" s="6"/>
      <c r="G255" s="6"/>
    </row>
    <row r="256" spans="5:7" ht="12.75" customHeight="1" x14ac:dyDescent="0.2">
      <c r="E256" s="6"/>
      <c r="F256" s="6"/>
      <c r="G256" s="6"/>
    </row>
    <row r="257" spans="5:7" ht="12.75" customHeight="1" x14ac:dyDescent="0.2">
      <c r="E257" s="6"/>
      <c r="F257" s="6"/>
      <c r="G257" s="6"/>
    </row>
    <row r="258" spans="5:7" ht="12.75" customHeight="1" x14ac:dyDescent="0.2">
      <c r="E258" s="6"/>
      <c r="F258" s="6"/>
      <c r="G258" s="6"/>
    </row>
    <row r="259" spans="5:7" ht="12.75" customHeight="1" x14ac:dyDescent="0.2">
      <c r="E259" s="6"/>
      <c r="F259" s="6"/>
      <c r="G259" s="6"/>
    </row>
    <row r="260" spans="5:7" ht="12.75" customHeight="1" x14ac:dyDescent="0.2">
      <c r="E260" s="6"/>
      <c r="F260" s="6"/>
      <c r="G260" s="6"/>
    </row>
    <row r="261" spans="5:7" ht="12.75" customHeight="1" x14ac:dyDescent="0.2">
      <c r="E261" s="6"/>
      <c r="F261" s="6"/>
      <c r="G261" s="6"/>
    </row>
    <row r="262" spans="5:7" ht="12.75" customHeight="1" x14ac:dyDescent="0.2">
      <c r="E262" s="6"/>
      <c r="F262" s="6"/>
      <c r="G262" s="6"/>
    </row>
    <row r="263" spans="5:7" ht="12.75" customHeight="1" x14ac:dyDescent="0.2">
      <c r="E263" s="6"/>
      <c r="F263" s="6"/>
      <c r="G263" s="6"/>
    </row>
    <row r="264" spans="5:7" ht="12.75" customHeight="1" x14ac:dyDescent="0.2">
      <c r="E264" s="6"/>
      <c r="F264" s="6"/>
      <c r="G264" s="6"/>
    </row>
    <row r="265" spans="5:7" ht="12.75" customHeight="1" x14ac:dyDescent="0.2">
      <c r="E265" s="6"/>
      <c r="F265" s="6"/>
      <c r="G265" s="6"/>
    </row>
    <row r="266" spans="5:7" ht="12.75" customHeight="1" x14ac:dyDescent="0.2">
      <c r="E266" s="6"/>
      <c r="F266" s="6"/>
      <c r="G266" s="6"/>
    </row>
    <row r="267" spans="5:7" ht="12.75" customHeight="1" x14ac:dyDescent="0.2">
      <c r="E267" s="6"/>
      <c r="F267" s="6"/>
      <c r="G267" s="6"/>
    </row>
    <row r="268" spans="5:7" ht="12.75" customHeight="1" x14ac:dyDescent="0.2">
      <c r="E268" s="6"/>
      <c r="F268" s="6"/>
      <c r="G268" s="6"/>
    </row>
    <row r="269" spans="5:7" ht="12.75" customHeight="1" x14ac:dyDescent="0.2">
      <c r="E269" s="6"/>
      <c r="F269" s="6"/>
      <c r="G269" s="6"/>
    </row>
    <row r="270" spans="5:7" ht="12.75" customHeight="1" x14ac:dyDescent="0.2">
      <c r="E270" s="6"/>
      <c r="F270" s="6"/>
      <c r="G270" s="6"/>
    </row>
    <row r="271" spans="5:7" ht="12.75" customHeight="1" x14ac:dyDescent="0.2">
      <c r="E271" s="6"/>
      <c r="F271" s="6"/>
      <c r="G271" s="6"/>
    </row>
    <row r="272" spans="5:7" ht="12.75" customHeight="1" x14ac:dyDescent="0.2">
      <c r="E272" s="6"/>
      <c r="F272" s="6"/>
      <c r="G272" s="6"/>
    </row>
    <row r="273" spans="5:7" ht="12.75" customHeight="1" x14ac:dyDescent="0.2">
      <c r="E273" s="6"/>
      <c r="F273" s="6"/>
      <c r="G273" s="6"/>
    </row>
    <row r="274" spans="5:7" ht="12.75" customHeight="1" x14ac:dyDescent="0.2">
      <c r="E274" s="6"/>
      <c r="F274" s="6"/>
      <c r="G274" s="6"/>
    </row>
    <row r="275" spans="5:7" ht="12.75" customHeight="1" x14ac:dyDescent="0.2">
      <c r="E275" s="6"/>
      <c r="F275" s="6"/>
      <c r="G275" s="6"/>
    </row>
    <row r="276" spans="5:7" ht="12.75" customHeight="1" x14ac:dyDescent="0.2">
      <c r="E276" s="6"/>
      <c r="F276" s="6"/>
      <c r="G276" s="6"/>
    </row>
    <row r="277" spans="5:7" ht="12.75" customHeight="1" x14ac:dyDescent="0.2">
      <c r="E277" s="6"/>
      <c r="F277" s="6"/>
      <c r="G277" s="6"/>
    </row>
    <row r="278" spans="5:7" ht="12.75" customHeight="1" x14ac:dyDescent="0.2">
      <c r="E278" s="6"/>
      <c r="F278" s="6"/>
      <c r="G278" s="6"/>
    </row>
    <row r="279" spans="5:7" ht="12.75" customHeight="1" x14ac:dyDescent="0.2">
      <c r="E279" s="6"/>
      <c r="F279" s="6"/>
      <c r="G279" s="6"/>
    </row>
    <row r="280" spans="5:7" ht="12.75" customHeight="1" x14ac:dyDescent="0.2">
      <c r="E280" s="6"/>
      <c r="F280" s="6"/>
      <c r="G280" s="6"/>
    </row>
    <row r="281" spans="5:7" ht="12.75" customHeight="1" x14ac:dyDescent="0.2">
      <c r="E281" s="6"/>
      <c r="F281" s="6"/>
      <c r="G281" s="6"/>
    </row>
    <row r="282" spans="5:7" ht="12.75" customHeight="1" x14ac:dyDescent="0.2">
      <c r="E282" s="83"/>
      <c r="F282" s="6"/>
      <c r="G282" s="6"/>
    </row>
    <row r="283" spans="5:7" ht="12.75" customHeight="1" x14ac:dyDescent="0.2">
      <c r="E283" s="83"/>
      <c r="F283" s="6"/>
      <c r="G283" s="6"/>
    </row>
    <row r="284" spans="5:7" ht="12.75" customHeight="1" x14ac:dyDescent="0.2">
      <c r="E284" s="83"/>
      <c r="F284" s="6"/>
      <c r="G284" s="6"/>
    </row>
    <row r="285" spans="5:7" ht="12.75" customHeight="1" x14ac:dyDescent="0.2">
      <c r="E285" s="83"/>
      <c r="F285" s="6"/>
      <c r="G285" s="6"/>
    </row>
    <row r="286" spans="5:7" ht="12.75" customHeight="1" x14ac:dyDescent="0.2">
      <c r="E286" s="83"/>
      <c r="F286" s="6"/>
      <c r="G286" s="6"/>
    </row>
    <row r="287" spans="5:7" ht="12.75" customHeight="1" x14ac:dyDescent="0.2">
      <c r="E287" s="83"/>
      <c r="F287" s="6"/>
      <c r="G287" s="6"/>
    </row>
    <row r="288" spans="5:7" ht="12.75" customHeight="1" x14ac:dyDescent="0.2">
      <c r="E288" s="83"/>
      <c r="F288" s="6"/>
      <c r="G288" s="6"/>
    </row>
    <row r="289" spans="5:7" ht="12.75" customHeight="1" x14ac:dyDescent="0.2">
      <c r="E289" s="83"/>
      <c r="F289" s="6"/>
      <c r="G289" s="6"/>
    </row>
    <row r="290" spans="5:7" ht="12.75" customHeight="1" x14ac:dyDescent="0.2">
      <c r="E290" s="83"/>
      <c r="F290" s="6"/>
      <c r="G290" s="6"/>
    </row>
    <row r="291" spans="5:7" x14ac:dyDescent="0.2">
      <c r="E291" s="83"/>
      <c r="F291" s="6"/>
      <c r="G291" s="6"/>
    </row>
    <row r="292" spans="5:7" x14ac:dyDescent="0.2">
      <c r="E292" s="83"/>
      <c r="F292" s="6"/>
      <c r="G292" s="6"/>
    </row>
    <row r="293" spans="5:7" x14ac:dyDescent="0.2">
      <c r="E293" s="83"/>
      <c r="F293" s="6"/>
      <c r="G293" s="6"/>
    </row>
    <row r="294" spans="5:7" x14ac:dyDescent="0.2">
      <c r="E294" s="83"/>
      <c r="F294" s="6"/>
      <c r="G294" s="6"/>
    </row>
    <row r="295" spans="5:7" x14ac:dyDescent="0.2">
      <c r="E295" s="83"/>
      <c r="F295" s="6"/>
      <c r="G295" s="6"/>
    </row>
    <row r="296" spans="5:7" x14ac:dyDescent="0.2">
      <c r="E296" s="83"/>
      <c r="F296" s="6"/>
      <c r="G296" s="6"/>
    </row>
    <row r="297" spans="5:7" x14ac:dyDescent="0.2">
      <c r="E297" s="83"/>
      <c r="F297" s="6"/>
      <c r="G297" s="6"/>
    </row>
    <row r="298" spans="5:7" x14ac:dyDescent="0.2">
      <c r="E298" s="83"/>
      <c r="F298" s="6"/>
      <c r="G298" s="6"/>
    </row>
    <row r="299" spans="5:7" x14ac:dyDescent="0.2">
      <c r="E299" s="83"/>
      <c r="F299" s="6"/>
      <c r="G299" s="6"/>
    </row>
    <row r="300" spans="5:7" x14ac:dyDescent="0.2">
      <c r="E300" s="83"/>
      <c r="F300" s="6"/>
      <c r="G300" s="6"/>
    </row>
    <row r="301" spans="5:7" x14ac:dyDescent="0.2">
      <c r="E301" s="83"/>
      <c r="F301" s="6"/>
      <c r="G301" s="6"/>
    </row>
    <row r="302" spans="5:7" x14ac:dyDescent="0.2">
      <c r="E302" s="83"/>
      <c r="F302" s="6"/>
      <c r="G302" s="6"/>
    </row>
    <row r="303" spans="5:7" x14ac:dyDescent="0.2">
      <c r="E303" s="83"/>
      <c r="F303" s="6"/>
      <c r="G303" s="6"/>
    </row>
    <row r="304" spans="5:7" x14ac:dyDescent="0.2">
      <c r="E304" s="83"/>
      <c r="F304" s="6"/>
      <c r="G304" s="6"/>
    </row>
    <row r="305" spans="5:19" x14ac:dyDescent="0.2">
      <c r="E305" s="83"/>
      <c r="F305" s="6"/>
      <c r="G305" s="6"/>
    </row>
    <row r="306" spans="5:19" x14ac:dyDescent="0.2">
      <c r="E306" s="83"/>
      <c r="F306" s="6"/>
      <c r="G306" s="6"/>
    </row>
    <row r="307" spans="5:19" x14ac:dyDescent="0.2">
      <c r="E307" s="83"/>
      <c r="F307" s="6"/>
      <c r="G307" s="6"/>
    </row>
    <row r="308" spans="5:19" x14ac:dyDescent="0.2">
      <c r="E308" s="83"/>
      <c r="F308" s="6"/>
      <c r="G308" s="6"/>
    </row>
    <row r="309" spans="5:19" x14ac:dyDescent="0.2">
      <c r="E309" s="83"/>
      <c r="F309" s="6"/>
      <c r="G309" s="6"/>
    </row>
    <row r="310" spans="5:19" x14ac:dyDescent="0.2">
      <c r="E310" s="83"/>
      <c r="F310" s="6"/>
      <c r="G310" s="6"/>
      <c r="I310" s="6" t="str">
        <f>'Revenue - NHC'!E12</f>
        <v>Aged Services</v>
      </c>
      <c r="S310" s="6" t="s">
        <v>363</v>
      </c>
    </row>
    <row r="311" spans="5:19" x14ac:dyDescent="0.2">
      <c r="E311" s="83"/>
      <c r="F311" s="6"/>
      <c r="G311" s="6"/>
      <c r="I311" s="6" t="str">
        <f>'Revenue - NHC'!E13</f>
        <v>Active Communities</v>
      </c>
      <c r="S311" s="6" t="s">
        <v>108</v>
      </c>
    </row>
    <row r="312" spans="5:19" x14ac:dyDescent="0.2">
      <c r="E312" s="83"/>
      <c r="F312" s="6"/>
      <c r="G312" s="6"/>
      <c r="I312" s="6" t="str">
        <f>'Revenue - NHC'!E14</f>
        <v>Community Events</v>
      </c>
      <c r="S312" s="6" t="s">
        <v>109</v>
      </c>
    </row>
    <row r="313" spans="5:19" x14ac:dyDescent="0.2">
      <c r="E313" s="83"/>
      <c r="F313" s="6"/>
      <c r="G313" s="6"/>
      <c r="I313" s="6" t="str">
        <f>'Revenue - NHC'!E15</f>
        <v>Maternal and Child Health (MCH)</v>
      </c>
      <c r="S313" s="6" t="s">
        <v>443</v>
      </c>
    </row>
    <row r="314" spans="5:19" x14ac:dyDescent="0.2">
      <c r="E314" s="83"/>
      <c r="F314" s="6"/>
      <c r="G314" s="6"/>
      <c r="I314" s="6" t="str">
        <f>'Revenue - NHC'!E16</f>
        <v>Kindergarten</v>
      </c>
      <c r="S314" s="6" t="s">
        <v>110</v>
      </c>
    </row>
    <row r="315" spans="5:19" x14ac:dyDescent="0.2">
      <c r="E315" s="83"/>
      <c r="F315" s="6"/>
      <c r="G315" s="6"/>
      <c r="I315" s="6" t="str">
        <f>'Revenue - NHC'!E17</f>
        <v>Environmental Health</v>
      </c>
      <c r="S315" s="6" t="s">
        <v>111</v>
      </c>
    </row>
    <row r="316" spans="5:19" x14ac:dyDescent="0.2">
      <c r="E316" s="83"/>
      <c r="F316" s="6"/>
      <c r="G316" s="6"/>
      <c r="I316" s="6" t="str">
        <f>'Revenue - NHC'!E18</f>
        <v>Asset Management and Appearance of Public Places</v>
      </c>
      <c r="S316" s="6" t="s">
        <v>112</v>
      </c>
    </row>
    <row r="317" spans="5:19" x14ac:dyDescent="0.2">
      <c r="E317" s="83"/>
      <c r="F317" s="6"/>
      <c r="G317" s="6"/>
      <c r="I317" s="6" t="str">
        <f>'Revenue - NHC'!E19</f>
        <v>Local Laws, Safety and Amenity</v>
      </c>
      <c r="S317" s="6" t="s">
        <v>88</v>
      </c>
    </row>
    <row r="318" spans="5:19" x14ac:dyDescent="0.2">
      <c r="E318" s="83"/>
      <c r="F318" s="6"/>
      <c r="G318" s="6"/>
      <c r="I318" s="6" t="str">
        <f>'Revenue - NHC'!E20</f>
        <v>Street Lighting</v>
      </c>
    </row>
    <row r="319" spans="5:19" x14ac:dyDescent="0.2">
      <c r="E319" s="83"/>
      <c r="F319" s="6"/>
      <c r="G319" s="6"/>
      <c r="I319" s="6" t="str">
        <f>'Revenue - NHC'!E21</f>
        <v>Powerline Safety</v>
      </c>
    </row>
    <row r="320" spans="5:19" x14ac:dyDescent="0.2">
      <c r="E320" s="83"/>
      <c r="F320" s="6"/>
      <c r="G320" s="6"/>
      <c r="I320" s="6" t="str">
        <f>'Revenue - NHC'!E22</f>
        <v>Library</v>
      </c>
    </row>
    <row r="321" spans="5:9" x14ac:dyDescent="0.2">
      <c r="E321" s="83"/>
      <c r="F321" s="6"/>
      <c r="G321" s="6"/>
      <c r="I321" s="6" t="str">
        <f>'Revenue - NHC'!E23</f>
        <v>Recreation, Arts and Culture</v>
      </c>
    </row>
    <row r="322" spans="5:9" x14ac:dyDescent="0.2">
      <c r="E322" s="83"/>
      <c r="F322" s="6"/>
      <c r="G322" s="6"/>
      <c r="I322" s="6" t="str">
        <f>'Revenue - NHC'!E24</f>
        <v>Environmental Sustainability</v>
      </c>
    </row>
    <row r="323" spans="5:9" x14ac:dyDescent="0.2">
      <c r="E323" s="83"/>
      <c r="F323" s="6"/>
      <c r="G323" s="6"/>
      <c r="I323" s="6" t="str">
        <f>'Revenue - NHC'!E25</f>
        <v>Coastal Protection</v>
      </c>
    </row>
    <row r="324" spans="5:9" x14ac:dyDescent="0.2">
      <c r="E324" s="83"/>
      <c r="F324" s="6"/>
      <c r="G324" s="6"/>
      <c r="I324" s="6" t="str">
        <f>'Revenue - NHC'!E26</f>
        <v>Waste Management and Recycling</v>
      </c>
    </row>
    <row r="325" spans="5:9" x14ac:dyDescent="0.2">
      <c r="E325" s="83"/>
      <c r="F325" s="6"/>
      <c r="G325" s="6"/>
      <c r="I325" s="6" t="str">
        <f>'Revenue - NHC'!E27</f>
        <v>Tourist Parks and Boat Ramp Services</v>
      </c>
    </row>
    <row r="326" spans="5:9" x14ac:dyDescent="0.2">
      <c r="E326" s="83"/>
      <c r="F326" s="6"/>
      <c r="G326" s="6"/>
      <c r="I326" s="6" t="str">
        <f>'Revenue - NHC'!E28</f>
        <v>Visitor Information Centre (VIC)</v>
      </c>
    </row>
    <row r="327" spans="5:9" x14ac:dyDescent="0.2">
      <c r="E327" s="83"/>
      <c r="F327" s="6"/>
      <c r="G327" s="6"/>
      <c r="I327" s="6" t="str">
        <f>'Revenue - NHC'!E29</f>
        <v>Tourism and Economic Development</v>
      </c>
    </row>
    <row r="328" spans="5:9" x14ac:dyDescent="0.2">
      <c r="E328" s="83"/>
      <c r="F328" s="6"/>
      <c r="G328" s="6"/>
      <c r="I328" s="6" t="str">
        <f>'Revenue - NHC'!E30</f>
        <v>Design and Project Management</v>
      </c>
    </row>
    <row r="329" spans="5:9" x14ac:dyDescent="0.2">
      <c r="E329" s="83"/>
      <c r="F329" s="6"/>
      <c r="G329" s="6"/>
      <c r="I329" s="6" t="str">
        <f>'Revenue - NHC'!E31</f>
        <v>Land Use Planning</v>
      </c>
    </row>
    <row r="330" spans="5:9" x14ac:dyDescent="0.2">
      <c r="E330" s="83"/>
      <c r="F330" s="6"/>
      <c r="G330" s="6"/>
      <c r="I330" s="6" t="str">
        <f>'Revenue - NHC'!E32</f>
        <v>Heritage Conservation Advice</v>
      </c>
    </row>
    <row r="331" spans="5:9" x14ac:dyDescent="0.2">
      <c r="E331" s="83"/>
      <c r="F331" s="6"/>
      <c r="G331" s="6"/>
      <c r="I331" s="6" t="str">
        <f>'Revenue - NHC'!E33</f>
        <v>Building Control</v>
      </c>
    </row>
    <row r="332" spans="5:9" x14ac:dyDescent="0.2">
      <c r="E332" s="83"/>
      <c r="F332" s="6"/>
      <c r="G332" s="6"/>
      <c r="I332" s="6" t="str">
        <f>'Revenue - NHC'!E34</f>
        <v>Council Governance</v>
      </c>
    </row>
    <row r="333" spans="5:9" x14ac:dyDescent="0.2">
      <c r="E333" s="83"/>
      <c r="F333" s="6"/>
      <c r="G333" s="6"/>
      <c r="I333" s="6" t="str">
        <f>'Revenue - NHC'!E35</f>
        <v>Organisation Performance and Compliance</v>
      </c>
    </row>
    <row r="334" spans="5:9" x14ac:dyDescent="0.2">
      <c r="E334" s="83"/>
      <c r="F334" s="6"/>
      <c r="G334" s="6"/>
      <c r="I334" s="6" t="str">
        <f>'Revenue - NHC'!E36</f>
        <v>Community Engagement and Customer Service</v>
      </c>
    </row>
    <row r="335" spans="5:9" x14ac:dyDescent="0.2">
      <c r="E335" s="83"/>
      <c r="F335" s="6"/>
      <c r="G335" s="6"/>
    </row>
    <row r="336" spans="5:9" x14ac:dyDescent="0.2">
      <c r="E336" s="83"/>
      <c r="F336" s="6"/>
      <c r="G336" s="6"/>
    </row>
    <row r="337" spans="5:19" x14ac:dyDescent="0.2">
      <c r="E337" s="83"/>
      <c r="F337" s="6"/>
      <c r="G337" s="6"/>
      <c r="I337" s="6" t="str">
        <f>'Revenue - WHC'!E12</f>
        <v>Aged Services</v>
      </c>
      <c r="S337" s="6" t="s">
        <v>363</v>
      </c>
    </row>
    <row r="338" spans="5:19" x14ac:dyDescent="0.2">
      <c r="E338" s="83"/>
      <c r="F338" s="6"/>
      <c r="G338" s="6"/>
      <c r="I338" s="6" t="str">
        <f>'Revenue - WHC'!E13</f>
        <v>Active Communities</v>
      </c>
      <c r="S338" s="6" t="s">
        <v>108</v>
      </c>
    </row>
    <row r="339" spans="5:19" x14ac:dyDescent="0.2">
      <c r="E339" s="83"/>
      <c r="F339" s="6"/>
      <c r="G339" s="6"/>
      <c r="I339" s="6" t="str">
        <f>'Revenue - WHC'!E14</f>
        <v>Community Events</v>
      </c>
      <c r="S339" s="6" t="s">
        <v>109</v>
      </c>
    </row>
    <row r="340" spans="5:19" x14ac:dyDescent="0.2">
      <c r="E340" s="83"/>
      <c r="F340" s="6"/>
      <c r="G340" s="6"/>
      <c r="I340" s="6" t="str">
        <f>'Revenue - WHC'!E15</f>
        <v>Maternal and Child Health (MCH)</v>
      </c>
      <c r="S340" s="6" t="s">
        <v>102</v>
      </c>
    </row>
    <row r="341" spans="5:19" x14ac:dyDescent="0.2">
      <c r="E341" s="83"/>
      <c r="F341" s="6"/>
      <c r="G341" s="6"/>
      <c r="I341" s="6" t="str">
        <f>'Revenue - WHC'!E16</f>
        <v>Kindergarten</v>
      </c>
      <c r="S341" s="6" t="s">
        <v>110</v>
      </c>
    </row>
    <row r="342" spans="5:19" x14ac:dyDescent="0.2">
      <c r="E342" s="83"/>
      <c r="F342" s="6"/>
      <c r="G342" s="6"/>
      <c r="I342" s="6" t="str">
        <f>'Revenue - WHC'!E17</f>
        <v>Environmental Health</v>
      </c>
      <c r="S342" s="6" t="s">
        <v>111</v>
      </c>
    </row>
    <row r="343" spans="5:19" x14ac:dyDescent="0.2">
      <c r="E343" s="83"/>
      <c r="F343" s="6"/>
      <c r="G343" s="6"/>
      <c r="I343" s="6" t="str">
        <f>'Revenue - WHC'!E18</f>
        <v>Asset Management and Appearance of Public Places</v>
      </c>
      <c r="S343" s="6" t="s">
        <v>112</v>
      </c>
    </row>
    <row r="344" spans="5:19" x14ac:dyDescent="0.2">
      <c r="E344" s="83"/>
      <c r="F344" s="6"/>
      <c r="G344" s="6"/>
      <c r="I344" s="6" t="str">
        <f>'Revenue - WHC'!E19</f>
        <v>Local Laws, Safety and Amenity</v>
      </c>
      <c r="S344" s="6" t="s">
        <v>88</v>
      </c>
    </row>
    <row r="345" spans="5:19" x14ac:dyDescent="0.2">
      <c r="E345" s="83"/>
      <c r="F345" s="6"/>
      <c r="G345" s="6"/>
      <c r="I345" s="6" t="str">
        <f>'Revenue - WHC'!E20</f>
        <v>Street Lighting</v>
      </c>
    </row>
    <row r="346" spans="5:19" x14ac:dyDescent="0.2">
      <c r="E346" s="83"/>
      <c r="F346" s="6"/>
      <c r="G346" s="6"/>
      <c r="I346" s="6" t="str">
        <f>'Revenue - WHC'!E21</f>
        <v>Powerline Safety</v>
      </c>
    </row>
    <row r="347" spans="5:19" x14ac:dyDescent="0.2">
      <c r="E347" s="83"/>
      <c r="F347" s="6"/>
      <c r="G347" s="6"/>
      <c r="I347" s="6" t="str">
        <f>'Revenue - WHC'!E22</f>
        <v>Library</v>
      </c>
    </row>
    <row r="348" spans="5:19" x14ac:dyDescent="0.2">
      <c r="E348" s="83"/>
      <c r="F348" s="6"/>
      <c r="G348" s="6"/>
      <c r="I348" s="6" t="str">
        <f>'Revenue - WHC'!E23</f>
        <v>Recreation, Arts and Culture</v>
      </c>
    </row>
    <row r="349" spans="5:19" x14ac:dyDescent="0.2">
      <c r="E349" s="83"/>
      <c r="F349" s="6"/>
      <c r="G349" s="6"/>
      <c r="I349" s="6" t="str">
        <f>'Revenue - WHC'!E24</f>
        <v>Environmental Sustainability</v>
      </c>
    </row>
    <row r="350" spans="5:19" x14ac:dyDescent="0.2">
      <c r="E350" s="83"/>
      <c r="F350" s="6"/>
      <c r="G350" s="6"/>
      <c r="I350" s="6" t="str">
        <f>'Revenue - WHC'!E25</f>
        <v>Coastal Protection</v>
      </c>
    </row>
    <row r="351" spans="5:19" x14ac:dyDescent="0.2">
      <c r="E351" s="83"/>
      <c r="F351" s="6"/>
      <c r="G351" s="6"/>
      <c r="I351" s="6" t="str">
        <f>'Revenue - WHC'!E26</f>
        <v>Waste Management and Recycling</v>
      </c>
    </row>
    <row r="352" spans="5:19" x14ac:dyDescent="0.2">
      <c r="E352" s="83"/>
      <c r="F352" s="6"/>
      <c r="G352" s="6"/>
      <c r="I352" s="6" t="str">
        <f>'Revenue - WHC'!E27</f>
        <v>Tourist Parks and Boat Ramp Services</v>
      </c>
    </row>
    <row r="353" spans="5:9" x14ac:dyDescent="0.2">
      <c r="E353" s="83"/>
      <c r="F353" s="6"/>
      <c r="G353" s="6"/>
      <c r="I353" s="6" t="str">
        <f>'Revenue - WHC'!E28</f>
        <v>Visitor Information Centre (VIC)</v>
      </c>
    </row>
    <row r="354" spans="5:9" x14ac:dyDescent="0.2">
      <c r="E354" s="83"/>
      <c r="F354" s="6"/>
      <c r="G354" s="6"/>
      <c r="I354" s="6" t="str">
        <f>'Revenue - WHC'!E29</f>
        <v>Tourism and Economic Development</v>
      </c>
    </row>
    <row r="355" spans="5:9" x14ac:dyDescent="0.2">
      <c r="E355" s="83"/>
      <c r="F355" s="6"/>
      <c r="G355" s="6"/>
      <c r="I355" s="6" t="str">
        <f>'Revenue - WHC'!E30</f>
        <v>Design and Project Management</v>
      </c>
    </row>
    <row r="356" spans="5:9" x14ac:dyDescent="0.2">
      <c r="E356" s="83"/>
      <c r="F356" s="6"/>
      <c r="G356" s="6"/>
      <c r="I356" s="6" t="str">
        <f>'Revenue - WHC'!E31</f>
        <v>Land Use Planning</v>
      </c>
    </row>
    <row r="357" spans="5:9" x14ac:dyDescent="0.2">
      <c r="E357" s="83"/>
      <c r="F357" s="6"/>
      <c r="G357" s="6"/>
      <c r="I357" s="6" t="str">
        <f>'Revenue - WHC'!E32</f>
        <v>Heritage Conservation Advice</v>
      </c>
    </row>
    <row r="358" spans="5:9" x14ac:dyDescent="0.2">
      <c r="E358" s="83"/>
      <c r="F358" s="6"/>
      <c r="G358" s="6"/>
      <c r="I358" s="6" t="str">
        <f>'Revenue - WHC'!E33</f>
        <v>Building Control</v>
      </c>
    </row>
    <row r="359" spans="5:9" x14ac:dyDescent="0.2">
      <c r="E359" s="83"/>
      <c r="F359" s="6"/>
      <c r="G359" s="6"/>
      <c r="I359" s="6" t="str">
        <f>'Revenue - WHC'!E34</f>
        <v>Council Governance</v>
      </c>
    </row>
    <row r="360" spans="5:9" x14ac:dyDescent="0.2">
      <c r="E360" s="83"/>
      <c r="F360" s="6"/>
      <c r="G360" s="6"/>
      <c r="I360" s="6" t="str">
        <f>'Revenue - WHC'!E35</f>
        <v>Organisation Performance and Compliance</v>
      </c>
    </row>
    <row r="361" spans="5:9" x14ac:dyDescent="0.2">
      <c r="E361" s="83"/>
      <c r="F361" s="6"/>
      <c r="G361" s="6"/>
      <c r="I361" s="6" t="str">
        <f>'Revenue - WHC'!E36</f>
        <v>Community Engagement and Customer Service</v>
      </c>
    </row>
    <row r="362" spans="5:9" x14ac:dyDescent="0.2">
      <c r="E362" s="83"/>
      <c r="F362" s="6"/>
      <c r="G362" s="6"/>
      <c r="I362" s="6" t="str">
        <f>'Revenue - WHC'!E37</f>
        <v>Financial and Risk Management</v>
      </c>
    </row>
    <row r="363" spans="5:9" x14ac:dyDescent="0.2">
      <c r="E363" s="83"/>
      <c r="F363" s="6"/>
      <c r="G363" s="6"/>
      <c r="I363" s="6" t="str">
        <f>'Revenue - WHC'!E38</f>
        <v/>
      </c>
    </row>
    <row r="364" spans="5:9" x14ac:dyDescent="0.2">
      <c r="E364" s="83"/>
      <c r="F364" s="6"/>
      <c r="G364" s="6"/>
      <c r="I364" s="6" t="str">
        <f>'Revenue - WHC'!E39</f>
        <v>Capital Works Program</v>
      </c>
    </row>
    <row r="365" spans="5:9" x14ac:dyDescent="0.2">
      <c r="E365" s="83"/>
      <c r="F365" s="6"/>
      <c r="G365" s="6"/>
      <c r="I365" s="6" t="str">
        <f>'Revenue - WHC'!E40</f>
        <v/>
      </c>
    </row>
    <row r="366" spans="5:9" x14ac:dyDescent="0.2">
      <c r="E366" s="83"/>
      <c r="F366" s="6"/>
      <c r="G366" s="6"/>
      <c r="I366" s="6" t="str">
        <f>'Revenue - WHC'!E41</f>
        <v/>
      </c>
    </row>
    <row r="367" spans="5:9" x14ac:dyDescent="0.2">
      <c r="E367" s="83"/>
      <c r="F367" s="6"/>
      <c r="G367" s="6"/>
      <c r="I367" s="6" t="str">
        <f>'Revenue - WHC'!E42</f>
        <v/>
      </c>
    </row>
    <row r="368" spans="5:9" x14ac:dyDescent="0.2">
      <c r="E368" s="83"/>
      <c r="F368" s="6"/>
      <c r="G368" s="6"/>
      <c r="I368" s="6" t="str">
        <f>'Revenue - WHC'!E43</f>
        <v/>
      </c>
    </row>
    <row r="369" spans="5:9" x14ac:dyDescent="0.2">
      <c r="E369" s="83"/>
      <c r="F369" s="6"/>
      <c r="G369" s="6"/>
      <c r="I369" s="6" t="str">
        <f>'Revenue - WHC'!E44</f>
        <v/>
      </c>
    </row>
    <row r="370" spans="5:9" x14ac:dyDescent="0.2">
      <c r="E370" s="83"/>
      <c r="F370" s="6"/>
      <c r="G370" s="6"/>
      <c r="I370" s="6" t="str">
        <f>'Revenue - WHC'!E45</f>
        <v/>
      </c>
    </row>
    <row r="371" spans="5:9" x14ac:dyDescent="0.2">
      <c r="E371" s="83"/>
      <c r="F371" s="6"/>
      <c r="G371" s="6"/>
      <c r="I371" s="6" t="str">
        <f>'Revenue - WHC'!E46</f>
        <v/>
      </c>
    </row>
    <row r="372" spans="5:9" x14ac:dyDescent="0.2">
      <c r="E372" s="83"/>
      <c r="F372" s="6"/>
      <c r="G372" s="6"/>
      <c r="I372" s="6" t="str">
        <f>'Revenue - WHC'!E47</f>
        <v/>
      </c>
    </row>
    <row r="373" spans="5:9" x14ac:dyDescent="0.2">
      <c r="E373" s="83"/>
      <c r="F373" s="6"/>
      <c r="G373" s="6"/>
      <c r="I373" s="6" t="str">
        <f>'Revenue - WHC'!E48</f>
        <v/>
      </c>
    </row>
    <row r="374" spans="5:9" x14ac:dyDescent="0.2">
      <c r="E374" s="83"/>
      <c r="F374" s="6"/>
      <c r="G374" s="6"/>
      <c r="I374" s="6" t="str">
        <f>'Revenue - WHC'!E49</f>
        <v/>
      </c>
    </row>
    <row r="375" spans="5:9" x14ac:dyDescent="0.2">
      <c r="E375" s="83"/>
      <c r="F375" s="6"/>
      <c r="G375" s="6"/>
      <c r="I375" s="6" t="str">
        <f>'Revenue - WHC'!E50</f>
        <v/>
      </c>
    </row>
    <row r="376" spans="5:9" x14ac:dyDescent="0.2">
      <c r="E376" s="83"/>
      <c r="F376" s="6"/>
      <c r="G376" s="6"/>
      <c r="I376" s="6" t="str">
        <f>'Revenue - WHC'!E51</f>
        <v/>
      </c>
    </row>
    <row r="377" spans="5:9" x14ac:dyDescent="0.2">
      <c r="E377" s="83"/>
      <c r="F377" s="6"/>
      <c r="G377" s="6"/>
      <c r="I377" s="6" t="str">
        <f>'Revenue - WHC'!E52</f>
        <v/>
      </c>
    </row>
    <row r="378" spans="5:9" x14ac:dyDescent="0.2">
      <c r="E378" s="83"/>
      <c r="F378" s="6"/>
      <c r="G378" s="6"/>
      <c r="I378" s="6" t="str">
        <f>'Revenue - WHC'!E53</f>
        <v/>
      </c>
    </row>
    <row r="379" spans="5:9" x14ac:dyDescent="0.2">
      <c r="E379" s="83"/>
      <c r="F379" s="6"/>
      <c r="G379" s="6"/>
      <c r="I379" s="6" t="str">
        <f>'Revenue - WHC'!E54</f>
        <v/>
      </c>
    </row>
    <row r="380" spans="5:9" x14ac:dyDescent="0.2">
      <c r="E380" s="83"/>
      <c r="F380" s="6"/>
      <c r="G380" s="6"/>
      <c r="I380" s="6" t="str">
        <f>'Revenue - WHC'!E55</f>
        <v/>
      </c>
    </row>
    <row r="381" spans="5:9" x14ac:dyDescent="0.2">
      <c r="E381" s="83"/>
      <c r="F381" s="6"/>
      <c r="G381" s="6"/>
      <c r="I381" s="6" t="str">
        <f>'Revenue - WHC'!E56</f>
        <v/>
      </c>
    </row>
    <row r="382" spans="5:9" x14ac:dyDescent="0.2">
      <c r="E382" s="83"/>
      <c r="F382" s="6"/>
      <c r="G382" s="6"/>
      <c r="I382" s="6" t="str">
        <f>'Revenue - WHC'!E57</f>
        <v/>
      </c>
    </row>
    <row r="383" spans="5:9" x14ac:dyDescent="0.2">
      <c r="E383" s="83"/>
      <c r="F383" s="6"/>
      <c r="G383" s="6"/>
      <c r="I383" s="6" t="str">
        <f>'Revenue - WHC'!E58</f>
        <v/>
      </c>
    </row>
    <row r="384" spans="5:9" x14ac:dyDescent="0.2">
      <c r="E384" s="83"/>
      <c r="F384" s="6"/>
      <c r="G384" s="6"/>
      <c r="I384" s="6" t="str">
        <f>'Revenue - WHC'!E59</f>
        <v/>
      </c>
    </row>
    <row r="385" spans="5:9" x14ac:dyDescent="0.2">
      <c r="E385" s="83"/>
      <c r="F385" s="6"/>
      <c r="G385" s="6"/>
      <c r="I385" s="6" t="str">
        <f>'Revenue - WHC'!E60</f>
        <v/>
      </c>
    </row>
    <row r="386" spans="5:9" x14ac:dyDescent="0.2">
      <c r="I386" s="6" t="str">
        <f>'Revenue - WHC'!E61</f>
        <v/>
      </c>
    </row>
    <row r="387" spans="5:9" x14ac:dyDescent="0.2">
      <c r="I387" s="6" t="str">
        <f>'Revenue - WHC'!E62</f>
        <v/>
      </c>
    </row>
    <row r="388" spans="5:9" x14ac:dyDescent="0.2">
      <c r="I388" s="6" t="str">
        <f>'Revenue - WHC'!E63</f>
        <v/>
      </c>
    </row>
    <row r="389" spans="5:9" x14ac:dyDescent="0.2">
      <c r="I389" s="6" t="str">
        <f>'Revenue - WHC'!E64</f>
        <v/>
      </c>
    </row>
    <row r="390" spans="5:9" x14ac:dyDescent="0.2">
      <c r="I390" s="6" t="str">
        <f>'Revenue - WHC'!E65</f>
        <v/>
      </c>
    </row>
    <row r="391" spans="5:9" x14ac:dyDescent="0.2">
      <c r="I391" s="6" t="str">
        <f>'Revenue - WHC'!E66</f>
        <v/>
      </c>
    </row>
    <row r="392" spans="5:9" x14ac:dyDescent="0.2">
      <c r="I392" s="6" t="str">
        <f>'Revenue - WHC'!E67</f>
        <v/>
      </c>
    </row>
    <row r="393" spans="5:9" x14ac:dyDescent="0.2">
      <c r="I393" s="6" t="str">
        <f>'Revenue - WHC'!E68</f>
        <v/>
      </c>
    </row>
    <row r="394" spans="5:9" x14ac:dyDescent="0.2">
      <c r="I394" s="6" t="str">
        <f>'Revenue - WHC'!E69</f>
        <v/>
      </c>
    </row>
    <row r="395" spans="5:9" x14ac:dyDescent="0.2">
      <c r="I395" s="6" t="str">
        <f>'Revenue - WHC'!E70</f>
        <v/>
      </c>
    </row>
    <row r="396" spans="5:9" x14ac:dyDescent="0.2">
      <c r="I396" s="6" t="str">
        <f>'Revenue - WHC'!E71</f>
        <v/>
      </c>
    </row>
    <row r="397" spans="5:9" x14ac:dyDescent="0.2">
      <c r="I397" s="6" t="str">
        <f>'Revenue - WHC'!E72</f>
        <v/>
      </c>
    </row>
    <row r="398" spans="5:9" x14ac:dyDescent="0.2">
      <c r="I398" s="6" t="str">
        <f>'Revenue - WHC'!E73</f>
        <v/>
      </c>
    </row>
    <row r="399" spans="5:9" x14ac:dyDescent="0.2">
      <c r="I399" s="6" t="str">
        <f>'Revenue - WHC'!E74</f>
        <v/>
      </c>
    </row>
    <row r="400" spans="5:9" x14ac:dyDescent="0.2">
      <c r="I400" s="6" t="str">
        <f>'Revenue - WHC'!E75</f>
        <v/>
      </c>
    </row>
    <row r="401" spans="9:9" s="6" customFormat="1" x14ac:dyDescent="0.2">
      <c r="I401" s="6" t="str">
        <f>'Revenue - WHC'!E76</f>
        <v/>
      </c>
    </row>
    <row r="402" spans="9:9" s="6" customFormat="1" x14ac:dyDescent="0.2">
      <c r="I402" s="6" t="str">
        <f>'Revenue - WHC'!E77</f>
        <v/>
      </c>
    </row>
    <row r="403" spans="9:9" s="6" customFormat="1" x14ac:dyDescent="0.2">
      <c r="I403" s="6" t="str">
        <f>'Revenue - WHC'!E78</f>
        <v/>
      </c>
    </row>
    <row r="404" spans="9:9" s="6" customFormat="1" x14ac:dyDescent="0.2">
      <c r="I404" s="6" t="str">
        <f>'Revenue - WHC'!E79</f>
        <v/>
      </c>
    </row>
    <row r="405" spans="9:9" s="6" customFormat="1" x14ac:dyDescent="0.2">
      <c r="I405" s="6" t="str">
        <f>'Revenue - WHC'!E80</f>
        <v/>
      </c>
    </row>
    <row r="406" spans="9:9" s="6" customFormat="1" x14ac:dyDescent="0.2">
      <c r="I406" s="6" t="str">
        <f>'Revenue - WHC'!E81</f>
        <v/>
      </c>
    </row>
    <row r="407" spans="9:9" s="6" customFormat="1" x14ac:dyDescent="0.2">
      <c r="I407" s="6" t="str">
        <f>'Revenue - WHC'!E82</f>
        <v/>
      </c>
    </row>
    <row r="408" spans="9:9" s="6" customFormat="1" x14ac:dyDescent="0.2">
      <c r="I408" s="6" t="str">
        <f>'Revenue - WHC'!E83</f>
        <v/>
      </c>
    </row>
    <row r="409" spans="9:9" s="6" customFormat="1" x14ac:dyDescent="0.2">
      <c r="I409" s="6" t="str">
        <f>'Revenue - WHC'!E84</f>
        <v/>
      </c>
    </row>
    <row r="410" spans="9:9" s="6" customFormat="1" x14ac:dyDescent="0.2">
      <c r="I410" s="6" t="str">
        <f>'Revenue - WHC'!E85</f>
        <v/>
      </c>
    </row>
    <row r="411" spans="9:9" s="6" customFormat="1" x14ac:dyDescent="0.2">
      <c r="I411" s="6" t="str">
        <f>'Revenue - WHC'!E86</f>
        <v/>
      </c>
    </row>
    <row r="412" spans="9:9" s="6" customFormat="1" x14ac:dyDescent="0.2">
      <c r="I412" s="6" t="str">
        <f>'Revenue - WHC'!E87</f>
        <v/>
      </c>
    </row>
    <row r="413" spans="9:9" s="6" customFormat="1" x14ac:dyDescent="0.2">
      <c r="I413" s="6" t="str">
        <f>'Revenue - WHC'!E88</f>
        <v/>
      </c>
    </row>
    <row r="414" spans="9:9" s="6" customFormat="1" x14ac:dyDescent="0.2">
      <c r="I414" s="6" t="str">
        <f>'Revenue - WHC'!E89</f>
        <v/>
      </c>
    </row>
    <row r="415" spans="9:9" s="6" customFormat="1" x14ac:dyDescent="0.2">
      <c r="I415" s="6" t="str">
        <f>'Revenue - WHC'!E90</f>
        <v/>
      </c>
    </row>
    <row r="416" spans="9:9" s="6" customFormat="1" x14ac:dyDescent="0.2">
      <c r="I416" s="6" t="str">
        <f>'Revenue - WHC'!E91</f>
        <v/>
      </c>
    </row>
    <row r="417" spans="9:9" s="6" customFormat="1" x14ac:dyDescent="0.2">
      <c r="I417" s="6" t="str">
        <f>'Revenue - WHC'!E92</f>
        <v/>
      </c>
    </row>
    <row r="418" spans="9:9" s="6" customFormat="1" x14ac:dyDescent="0.2">
      <c r="I418" s="6" t="str">
        <f>'Revenue - WHC'!E93</f>
        <v/>
      </c>
    </row>
    <row r="419" spans="9:9" s="6" customFormat="1" x14ac:dyDescent="0.2">
      <c r="I419" s="6" t="str">
        <f>'Revenue - WHC'!E94</f>
        <v/>
      </c>
    </row>
    <row r="420" spans="9:9" s="6" customFormat="1" x14ac:dyDescent="0.2">
      <c r="I420" s="6" t="str">
        <f>'Revenue - WHC'!E95</f>
        <v/>
      </c>
    </row>
    <row r="421" spans="9:9" s="6" customFormat="1" x14ac:dyDescent="0.2">
      <c r="I421" s="6" t="str">
        <f>'Revenue - WHC'!E96</f>
        <v/>
      </c>
    </row>
    <row r="422" spans="9:9" s="6" customFormat="1" x14ac:dyDescent="0.2">
      <c r="I422" s="6" t="str">
        <f>'Revenue - WHC'!E97</f>
        <v/>
      </c>
    </row>
    <row r="423" spans="9:9" s="6" customFormat="1" x14ac:dyDescent="0.2">
      <c r="I423" s="6" t="str">
        <f>'Revenue - WHC'!E98</f>
        <v/>
      </c>
    </row>
    <row r="424" spans="9:9" s="6" customFormat="1" x14ac:dyDescent="0.2">
      <c r="I424" s="6" t="str">
        <f>'Revenue - WHC'!E99</f>
        <v/>
      </c>
    </row>
    <row r="425" spans="9:9" s="6" customFormat="1" x14ac:dyDescent="0.2">
      <c r="I425" s="6" t="str">
        <f>'Revenue - WHC'!E100</f>
        <v/>
      </c>
    </row>
    <row r="426" spans="9:9" s="6" customFormat="1" x14ac:dyDescent="0.2">
      <c r="I426" s="6" t="str">
        <f>'Revenue - WHC'!E101</f>
        <v/>
      </c>
    </row>
    <row r="427" spans="9:9" s="6" customFormat="1" x14ac:dyDescent="0.2">
      <c r="I427" s="6" t="str">
        <f>'Revenue - WHC'!E102</f>
        <v/>
      </c>
    </row>
    <row r="428" spans="9:9" s="6" customFormat="1" x14ac:dyDescent="0.2">
      <c r="I428" s="6" t="str">
        <f>'Revenue - WHC'!E103</f>
        <v/>
      </c>
    </row>
    <row r="429" spans="9:9" s="6" customFormat="1" x14ac:dyDescent="0.2">
      <c r="I429" s="6" t="str">
        <f>'Revenue - WHC'!E104</f>
        <v/>
      </c>
    </row>
    <row r="430" spans="9:9" s="6" customFormat="1" x14ac:dyDescent="0.2">
      <c r="I430" s="6" t="str">
        <f>'Revenue - WHC'!E105</f>
        <v/>
      </c>
    </row>
    <row r="431" spans="9:9" s="6" customFormat="1" x14ac:dyDescent="0.2">
      <c r="I431" s="6" t="str">
        <f>'Revenue - WHC'!E106</f>
        <v/>
      </c>
    </row>
    <row r="432" spans="9:9" s="6" customFormat="1" x14ac:dyDescent="0.2">
      <c r="I432" s="6" t="str">
        <f>'Revenue - WHC'!E107</f>
        <v/>
      </c>
    </row>
    <row r="433" spans="9:9" s="6" customFormat="1" x14ac:dyDescent="0.2">
      <c r="I433" s="6" t="str">
        <f>'Revenue - WHC'!E108</f>
        <v/>
      </c>
    </row>
    <row r="434" spans="9:9" s="6" customFormat="1" x14ac:dyDescent="0.2">
      <c r="I434" s="6" t="str">
        <f>'Revenue - WHC'!E109</f>
        <v/>
      </c>
    </row>
    <row r="435" spans="9:9" s="6" customFormat="1" x14ac:dyDescent="0.2">
      <c r="I435" s="6" t="str">
        <f>'Revenue - WHC'!E110</f>
        <v/>
      </c>
    </row>
    <row r="436" spans="9:9" s="6" customFormat="1" x14ac:dyDescent="0.2">
      <c r="I436" s="6" t="str">
        <f>'Revenue - WHC'!E111</f>
        <v/>
      </c>
    </row>
    <row r="437" spans="9:9" s="6" customFormat="1" x14ac:dyDescent="0.2">
      <c r="I437" s="6" t="str">
        <f>'Revenue - WHC'!E152</f>
        <v>Other</v>
      </c>
    </row>
  </sheetData>
  <mergeCells count="329">
    <mergeCell ref="O147:O151"/>
    <mergeCell ref="P147:P151"/>
    <mergeCell ref="Q147:Q151"/>
    <mergeCell ref="R147:R151"/>
    <mergeCell ref="E142:E146"/>
    <mergeCell ref="F142:H146"/>
    <mergeCell ref="K142:K146"/>
    <mergeCell ref="L142:L146"/>
    <mergeCell ref="M142:M146"/>
    <mergeCell ref="N142:N146"/>
    <mergeCell ref="O142:O146"/>
    <mergeCell ref="P142:P146"/>
    <mergeCell ref="Q142:Q146"/>
    <mergeCell ref="P122:P126"/>
    <mergeCell ref="Q122:Q126"/>
    <mergeCell ref="R122:R126"/>
    <mergeCell ref="R127:R131"/>
    <mergeCell ref="E137:E141"/>
    <mergeCell ref="F137:H141"/>
    <mergeCell ref="K137:K141"/>
    <mergeCell ref="L137:L141"/>
    <mergeCell ref="M137:M141"/>
    <mergeCell ref="N137:N141"/>
    <mergeCell ref="O137:O141"/>
    <mergeCell ref="P137:P141"/>
    <mergeCell ref="Q137:Q141"/>
    <mergeCell ref="R137:R141"/>
    <mergeCell ref="E127:E131"/>
    <mergeCell ref="F127:H131"/>
    <mergeCell ref="K127:K131"/>
    <mergeCell ref="L127:L131"/>
    <mergeCell ref="M127:M131"/>
    <mergeCell ref="N127:N131"/>
    <mergeCell ref="O127:O131"/>
    <mergeCell ref="P127:P131"/>
    <mergeCell ref="Q127:Q131"/>
    <mergeCell ref="E122:E126"/>
    <mergeCell ref="R112:R116"/>
    <mergeCell ref="E117:E121"/>
    <mergeCell ref="F117:H121"/>
    <mergeCell ref="K117:K121"/>
    <mergeCell ref="L117:L121"/>
    <mergeCell ref="M117:M121"/>
    <mergeCell ref="N117:N121"/>
    <mergeCell ref="O117:O121"/>
    <mergeCell ref="P117:P121"/>
    <mergeCell ref="Q117:Q121"/>
    <mergeCell ref="R117:R121"/>
    <mergeCell ref="E112:E116"/>
    <mergeCell ref="F112:H116"/>
    <mergeCell ref="K112:K116"/>
    <mergeCell ref="L112:L116"/>
    <mergeCell ref="M112:M116"/>
    <mergeCell ref="N112:N116"/>
    <mergeCell ref="O112:O116"/>
    <mergeCell ref="P112:P116"/>
    <mergeCell ref="Q112:Q116"/>
    <mergeCell ref="L152:L156"/>
    <mergeCell ref="M152:M156"/>
    <mergeCell ref="N152:N156"/>
    <mergeCell ref="O152:O156"/>
    <mergeCell ref="P152:P156"/>
    <mergeCell ref="Q152:Q156"/>
    <mergeCell ref="R152:R156"/>
    <mergeCell ref="E132:E136"/>
    <mergeCell ref="F132:H136"/>
    <mergeCell ref="K132:K136"/>
    <mergeCell ref="L132:L136"/>
    <mergeCell ref="M132:M136"/>
    <mergeCell ref="N132:N136"/>
    <mergeCell ref="O132:O136"/>
    <mergeCell ref="P132:P136"/>
    <mergeCell ref="Q132:Q136"/>
    <mergeCell ref="R132:R136"/>
    <mergeCell ref="R142:R146"/>
    <mergeCell ref="E147:E151"/>
    <mergeCell ref="F147:H151"/>
    <mergeCell ref="K147:K151"/>
    <mergeCell ref="L147:L151"/>
    <mergeCell ref="M147:M151"/>
    <mergeCell ref="N147:N151"/>
    <mergeCell ref="F122:H126"/>
    <mergeCell ref="K122:K126"/>
    <mergeCell ref="L122:L126"/>
    <mergeCell ref="M122:M126"/>
    <mergeCell ref="N122:N126"/>
    <mergeCell ref="O122:O126"/>
    <mergeCell ref="R77:R81"/>
    <mergeCell ref="E82:E86"/>
    <mergeCell ref="F82:H86"/>
    <mergeCell ref="K82:K86"/>
    <mergeCell ref="L82:L86"/>
    <mergeCell ref="M82:M86"/>
    <mergeCell ref="N82:N86"/>
    <mergeCell ref="O82:O86"/>
    <mergeCell ref="P82:P86"/>
    <mergeCell ref="Q82:Q86"/>
    <mergeCell ref="R82:R86"/>
    <mergeCell ref="E77:E81"/>
    <mergeCell ref="F77:H81"/>
    <mergeCell ref="K77:K81"/>
    <mergeCell ref="L77:L81"/>
    <mergeCell ref="M77:M81"/>
    <mergeCell ref="N77:N81"/>
    <mergeCell ref="O77:O81"/>
    <mergeCell ref="P77:P81"/>
    <mergeCell ref="Q77:Q81"/>
    <mergeCell ref="R97:R101"/>
    <mergeCell ref="E102:E106"/>
    <mergeCell ref="F102:H106"/>
    <mergeCell ref="K102:K106"/>
    <mergeCell ref="L102:L106"/>
    <mergeCell ref="M102:M106"/>
    <mergeCell ref="N102:N106"/>
    <mergeCell ref="O102:O106"/>
    <mergeCell ref="P102:P106"/>
    <mergeCell ref="Q102:Q106"/>
    <mergeCell ref="R102:R106"/>
    <mergeCell ref="E97:E101"/>
    <mergeCell ref="F97:H101"/>
    <mergeCell ref="K97:K101"/>
    <mergeCell ref="L97:L101"/>
    <mergeCell ref="M97:M101"/>
    <mergeCell ref="N97:N101"/>
    <mergeCell ref="O97:O101"/>
    <mergeCell ref="P97:P101"/>
    <mergeCell ref="Q97:Q101"/>
    <mergeCell ref="R87:R91"/>
    <mergeCell ref="E92:E96"/>
    <mergeCell ref="F92:H96"/>
    <mergeCell ref="K92:K96"/>
    <mergeCell ref="L92:L96"/>
    <mergeCell ref="M92:M96"/>
    <mergeCell ref="N92:N96"/>
    <mergeCell ref="O92:O96"/>
    <mergeCell ref="P92:P96"/>
    <mergeCell ref="Q92:Q96"/>
    <mergeCell ref="R92:R96"/>
    <mergeCell ref="E87:E91"/>
    <mergeCell ref="F87:H91"/>
    <mergeCell ref="K87:K91"/>
    <mergeCell ref="L87:L91"/>
    <mergeCell ref="M87:M91"/>
    <mergeCell ref="N87:N91"/>
    <mergeCell ref="O87:O91"/>
    <mergeCell ref="P87:P91"/>
    <mergeCell ref="Q87:Q91"/>
    <mergeCell ref="R162:R166"/>
    <mergeCell ref="E107:E111"/>
    <mergeCell ref="F107:H111"/>
    <mergeCell ref="K107:K111"/>
    <mergeCell ref="L107:L111"/>
    <mergeCell ref="M107:M111"/>
    <mergeCell ref="N107:N111"/>
    <mergeCell ref="O107:O111"/>
    <mergeCell ref="P107:P111"/>
    <mergeCell ref="Q107:Q111"/>
    <mergeCell ref="R107:R111"/>
    <mergeCell ref="E157:E161"/>
    <mergeCell ref="F157:H161"/>
    <mergeCell ref="K157:K161"/>
    <mergeCell ref="L157:L161"/>
    <mergeCell ref="M157:M161"/>
    <mergeCell ref="N157:N161"/>
    <mergeCell ref="O157:O161"/>
    <mergeCell ref="P157:P161"/>
    <mergeCell ref="Q157:Q161"/>
    <mergeCell ref="R157:R161"/>
    <mergeCell ref="E152:E156"/>
    <mergeCell ref="F152:H156"/>
    <mergeCell ref="K152:K156"/>
    <mergeCell ref="E162:E166"/>
    <mergeCell ref="F162:H166"/>
    <mergeCell ref="K162:K166"/>
    <mergeCell ref="L162:L166"/>
    <mergeCell ref="M162:M166"/>
    <mergeCell ref="N162:N166"/>
    <mergeCell ref="O162:O166"/>
    <mergeCell ref="P162:P166"/>
    <mergeCell ref="Q162:Q166"/>
    <mergeCell ref="R62:R66"/>
    <mergeCell ref="E57:E61"/>
    <mergeCell ref="F57:H61"/>
    <mergeCell ref="K57:K61"/>
    <mergeCell ref="L57:L61"/>
    <mergeCell ref="M57:M61"/>
    <mergeCell ref="N57:N61"/>
    <mergeCell ref="O57:O61"/>
    <mergeCell ref="P57:P61"/>
    <mergeCell ref="Q57:Q61"/>
    <mergeCell ref="R57:R61"/>
    <mergeCell ref="E62:E66"/>
    <mergeCell ref="F62:H66"/>
    <mergeCell ref="K62:K66"/>
    <mergeCell ref="L62:L66"/>
    <mergeCell ref="M62:M66"/>
    <mergeCell ref="N62:N66"/>
    <mergeCell ref="O62:O66"/>
    <mergeCell ref="P62:P66"/>
    <mergeCell ref="Q62:Q66"/>
    <mergeCell ref="R72:R76"/>
    <mergeCell ref="E67:E71"/>
    <mergeCell ref="F67:H71"/>
    <mergeCell ref="K67:K71"/>
    <mergeCell ref="L67:L71"/>
    <mergeCell ref="M67:M71"/>
    <mergeCell ref="N67:N71"/>
    <mergeCell ref="O67:O71"/>
    <mergeCell ref="P67:P71"/>
    <mergeCell ref="Q67:Q71"/>
    <mergeCell ref="R67:R71"/>
    <mergeCell ref="E72:E76"/>
    <mergeCell ref="F72:H76"/>
    <mergeCell ref="K72:K76"/>
    <mergeCell ref="L72:L76"/>
    <mergeCell ref="M72:M76"/>
    <mergeCell ref="N72:N76"/>
    <mergeCell ref="O72:O76"/>
    <mergeCell ref="P72:P76"/>
    <mergeCell ref="Q72:Q76"/>
    <mergeCell ref="E167:E171"/>
    <mergeCell ref="F167:H171"/>
    <mergeCell ref="K167:K171"/>
    <mergeCell ref="L167:L171"/>
    <mergeCell ref="M167:M17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167:N171"/>
    <mergeCell ref="O167:O171"/>
    <mergeCell ref="P167:P171"/>
    <mergeCell ref="Q167:Q171"/>
    <mergeCell ref="R167:R171"/>
    <mergeCell ref="H175:I175"/>
    <mergeCell ref="N175:R17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250">
    <cfRule type="cellIs" dxfId="65" priority="18" operator="equal">
      <formula>"OK"</formula>
    </cfRule>
    <cfRule type="cellIs" dxfId="64" priority="19" operator="equal">
      <formula>"ISSUE"</formula>
    </cfRule>
  </conditionalFormatting>
  <conditionalFormatting sqref="F251:F252">
    <cfRule type="cellIs" dxfId="63" priority="16" operator="equal">
      <formula>"OK"</formula>
    </cfRule>
    <cfRule type="cellIs" dxfId="62" priority="17" operator="equal">
      <formula>"ISSUE"</formula>
    </cfRule>
  </conditionalFormatting>
  <conditionalFormatting sqref="F269">
    <cfRule type="cellIs" dxfId="61" priority="12" operator="equal">
      <formula>"OK"</formula>
    </cfRule>
    <cfRule type="cellIs" dxfId="60" priority="13" operator="equal">
      <formula>"ISSUE"</formula>
    </cfRule>
  </conditionalFormatting>
  <conditionalFormatting sqref="F268">
    <cfRule type="cellIs" dxfId="59" priority="14" operator="equal">
      <formula>"OK"</formula>
    </cfRule>
    <cfRule type="cellIs" dxfId="58" priority="15" operator="equal">
      <formula>"ISSUE"</formula>
    </cfRule>
  </conditionalFormatting>
  <conditionalFormatting sqref="F287">
    <cfRule type="cellIs" dxfId="57" priority="8" operator="equal">
      <formula>"OK"</formula>
    </cfRule>
    <cfRule type="cellIs" dxfId="56" priority="9" operator="equal">
      <formula>"ISSUE"</formula>
    </cfRule>
  </conditionalFormatting>
  <conditionalFormatting sqref="F286">
    <cfRule type="cellIs" dxfId="55" priority="10" operator="equal">
      <formula>"OK"</formula>
    </cfRule>
    <cfRule type="cellIs" dxfId="54" priority="11" operator="equal">
      <formula>"ISSUE"</formula>
    </cfRule>
  </conditionalFormatting>
  <conditionalFormatting sqref="F305">
    <cfRule type="cellIs" dxfId="53" priority="4" operator="equal">
      <formula>"OK"</formula>
    </cfRule>
    <cfRule type="cellIs" dxfId="52" priority="5" operator="equal">
      <formula>"ISSUE"</formula>
    </cfRule>
  </conditionalFormatting>
  <conditionalFormatting sqref="F304">
    <cfRule type="cellIs" dxfId="51" priority="6" operator="equal">
      <formula>"OK"</formula>
    </cfRule>
    <cfRule type="cellIs" dxfId="50" priority="7" operator="equal">
      <formula>"ISSUE"</formula>
    </cfRule>
  </conditionalFormatting>
  <dataValidations disablePrompts="1" count="2">
    <dataValidation type="list" allowBlank="1" showInputMessage="1" showErrorMessage="1" sqref="S12:S15 S152:S155 S137:S140 S132:S135 S82:S85 S77:S80 S157:S160 S107:S110 S57:S60 S67:S70 S167:S170 S52:S55 S47:S50 S42:S45 S37:S40 S32:S35 S27:S30 S22:S25 S17:S20 S72:S75 S62:S65 S162:S165 S92:S95 S87:S90 S102:S105 S97:S100 S147:S150 S117:S120 S112:S115 S127:S130 S122:S125 S142:S145">
      <formula1>$S$309:$S$317</formula1>
    </dataValidation>
    <dataValidation type="list" allowBlank="1" showInputMessage="1" showErrorMessage="1" sqref="I12:I171">
      <formula1>$I$310:$I$410</formula1>
    </dataValidation>
  </dataValidations>
  <pageMargins left="0.25" right="0.25" top="0.75" bottom="0.75" header="0.3" footer="0.3"/>
  <pageSetup paperSize="8"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workbookViewId="0">
      <selection activeCell="C5" sqref="C5"/>
    </sheetView>
  </sheetViews>
  <sheetFormatPr defaultRowHeight="11.25" x14ac:dyDescent="0.2"/>
  <cols>
    <col min="1" max="1" width="2.1640625" style="611" customWidth="1"/>
    <col min="2" max="2" width="9.33203125" style="611"/>
    <col min="3" max="3" width="8.6640625" style="611" customWidth="1"/>
    <col min="4" max="4" width="4.33203125" style="611" customWidth="1"/>
    <col min="5" max="5" width="9" style="611" customWidth="1"/>
    <col min="6" max="6" width="8.33203125" style="611" customWidth="1"/>
    <col min="7" max="7" width="10.1640625" style="611" customWidth="1"/>
    <col min="8" max="8" width="10.5" style="611" customWidth="1"/>
    <col min="9" max="12" width="11.5" style="611" customWidth="1"/>
    <col min="13" max="13" width="1.33203125" style="611" customWidth="1"/>
    <col min="14" max="14" width="1.1640625" style="611" customWidth="1"/>
    <col min="15" max="15" width="2.33203125" style="611" customWidth="1"/>
    <col min="16" max="16384" width="9.33203125" style="611"/>
  </cols>
  <sheetData>
    <row r="1" spans="2:14" s="14" customFormat="1" ht="12.75" x14ac:dyDescent="0.2"/>
    <row r="2" spans="2:14" s="14" customFormat="1" ht="12.75" x14ac:dyDescent="0.2">
      <c r="C2" s="626" t="s">
        <v>208</v>
      </c>
    </row>
    <row r="3" spans="2:14" s="14" customFormat="1" ht="12.75" x14ac:dyDescent="0.2">
      <c r="C3" s="627" t="s">
        <v>0</v>
      </c>
    </row>
    <row r="4" spans="2:14" s="14" customFormat="1" ht="25.5" customHeight="1" x14ac:dyDescent="0.2">
      <c r="C4" s="628" t="s">
        <v>412</v>
      </c>
    </row>
    <row r="5" spans="2:14" s="129" customFormat="1" ht="17.25" customHeight="1" x14ac:dyDescent="0.2">
      <c r="C5" s="666" t="s">
        <v>401</v>
      </c>
    </row>
    <row r="8" spans="2:14" x14ac:dyDescent="0.2">
      <c r="B8" s="612"/>
      <c r="C8" s="558"/>
      <c r="D8" s="558"/>
      <c r="E8" s="558"/>
      <c r="F8" s="558"/>
      <c r="G8" s="558"/>
      <c r="H8" s="558"/>
      <c r="I8" s="558"/>
      <c r="J8" s="558"/>
      <c r="K8" s="558"/>
      <c r="L8" s="558"/>
      <c r="M8" s="558"/>
      <c r="N8" s="613"/>
    </row>
    <row r="9" spans="2:14" ht="15" x14ac:dyDescent="0.2">
      <c r="B9" s="617" t="s">
        <v>410</v>
      </c>
      <c r="C9" s="618"/>
      <c r="D9" s="618"/>
      <c r="E9" s="618"/>
      <c r="F9" s="630"/>
      <c r="G9" s="644" t="str">
        <f>'Assets - WHC'!B3</f>
        <v>Queenscliffe (B)</v>
      </c>
      <c r="H9" s="614"/>
      <c r="I9" s="614"/>
      <c r="J9" s="532"/>
      <c r="K9" s="532"/>
      <c r="L9" s="532"/>
      <c r="M9" s="532"/>
      <c r="N9" s="343"/>
    </row>
    <row r="10" spans="2:14" ht="12.75" x14ac:dyDescent="0.2">
      <c r="B10" s="617"/>
      <c r="C10" s="618"/>
      <c r="D10" s="618"/>
      <c r="E10" s="618"/>
      <c r="F10" s="630"/>
      <c r="G10" s="532"/>
      <c r="H10" s="532"/>
      <c r="I10" s="532"/>
      <c r="J10" s="532"/>
      <c r="K10" s="532"/>
      <c r="L10" s="532"/>
      <c r="M10" s="532"/>
      <c r="N10" s="343"/>
    </row>
    <row r="11" spans="2:14" ht="12.75" customHeight="1" x14ac:dyDescent="0.2">
      <c r="B11" s="846" t="s">
        <v>415</v>
      </c>
      <c r="C11" s="847"/>
      <c r="D11" s="847"/>
      <c r="E11" s="847"/>
      <c r="F11" s="630"/>
      <c r="G11" s="641">
        <f>'Higher cap(s) calculation'!C11</f>
        <v>1</v>
      </c>
      <c r="H11" s="630"/>
      <c r="I11" s="630"/>
      <c r="J11" s="630"/>
      <c r="K11" s="630"/>
      <c r="L11" s="630"/>
      <c r="M11" s="532"/>
      <c r="N11" s="343"/>
    </row>
    <row r="12" spans="2:14" ht="15.75" customHeight="1" x14ac:dyDescent="0.2">
      <c r="B12" s="846"/>
      <c r="C12" s="847"/>
      <c r="D12" s="847"/>
      <c r="E12" s="847"/>
      <c r="F12" s="630"/>
      <c r="G12" s="630"/>
      <c r="H12" s="630"/>
      <c r="I12" s="630"/>
      <c r="J12" s="630"/>
      <c r="K12" s="630"/>
      <c r="L12" s="630"/>
      <c r="M12" s="532"/>
      <c r="N12" s="343"/>
    </row>
    <row r="13" spans="2:14" ht="12.75" x14ac:dyDescent="0.2">
      <c r="B13" s="642"/>
      <c r="C13" s="643"/>
      <c r="D13" s="643"/>
      <c r="E13" s="643"/>
      <c r="F13" s="630"/>
      <c r="G13" s="630"/>
      <c r="H13" s="615" t="s">
        <v>72</v>
      </c>
      <c r="I13" s="615" t="s">
        <v>234</v>
      </c>
      <c r="J13" s="615" t="s">
        <v>235</v>
      </c>
      <c r="K13" s="615" t="s">
        <v>236</v>
      </c>
      <c r="L13" s="615" t="s">
        <v>237</v>
      </c>
      <c r="M13" s="532"/>
      <c r="N13" s="343"/>
    </row>
    <row r="14" spans="2:14" ht="12.75" x14ac:dyDescent="0.2">
      <c r="B14" s="617"/>
      <c r="C14" s="618"/>
      <c r="D14" s="618"/>
      <c r="E14" s="618"/>
      <c r="F14" s="630"/>
      <c r="G14" s="630"/>
      <c r="H14" s="15"/>
      <c r="I14" s="15"/>
      <c r="J14" s="15"/>
      <c r="K14" s="15"/>
      <c r="L14" s="15"/>
      <c r="M14" s="532"/>
      <c r="N14" s="343"/>
    </row>
    <row r="15" spans="2:14" ht="12.75" x14ac:dyDescent="0.2">
      <c r="B15" s="617" t="s">
        <v>422</v>
      </c>
      <c r="C15" s="618"/>
      <c r="D15" s="618"/>
      <c r="E15" s="618"/>
      <c r="F15" s="630"/>
      <c r="G15" s="630"/>
      <c r="H15" s="630"/>
      <c r="I15" s="633">
        <f>'Higher cap(s) calculation'!F62</f>
        <v>4.5000149266831713E-2</v>
      </c>
      <c r="J15" s="633" t="str">
        <f>'Higher cap(s) calculation'!G62</f>
        <v/>
      </c>
      <c r="K15" s="633" t="str">
        <f>'Higher cap(s) calculation'!H62</f>
        <v/>
      </c>
      <c r="L15" s="633" t="str">
        <f>'Higher cap(s) calculation'!I62</f>
        <v/>
      </c>
      <c r="M15" s="532"/>
      <c r="N15" s="343"/>
    </row>
    <row r="16" spans="2:14" ht="14.25" customHeight="1" x14ac:dyDescent="0.2">
      <c r="B16" s="846" t="s">
        <v>421</v>
      </c>
      <c r="C16" s="847"/>
      <c r="D16" s="847"/>
      <c r="E16" s="847"/>
      <c r="F16" s="630"/>
      <c r="G16" s="630"/>
      <c r="H16" s="630"/>
      <c r="I16" s="630"/>
      <c r="J16" s="630"/>
      <c r="K16" s="630"/>
      <c r="L16" s="630"/>
      <c r="M16" s="532"/>
      <c r="N16" s="343"/>
    </row>
    <row r="17" spans="2:14" ht="12.75" x14ac:dyDescent="0.2">
      <c r="B17" s="846"/>
      <c r="C17" s="847"/>
      <c r="D17" s="847"/>
      <c r="E17" s="847"/>
      <c r="F17" s="630"/>
      <c r="G17" s="633">
        <f>SUM(I15:L15)</f>
        <v>4.5000149266831713E-2</v>
      </c>
      <c r="H17" s="630"/>
      <c r="I17" s="630"/>
      <c r="J17" s="630"/>
      <c r="K17" s="630"/>
      <c r="L17" s="630"/>
      <c r="M17" s="532"/>
      <c r="N17" s="343"/>
    </row>
    <row r="18" spans="2:14" ht="12.75" x14ac:dyDescent="0.2">
      <c r="B18" s="620"/>
      <c r="C18" s="618"/>
      <c r="D18" s="618"/>
      <c r="E18" s="618"/>
      <c r="F18" s="630"/>
      <c r="G18" s="630"/>
      <c r="H18" s="630"/>
      <c r="I18" s="630"/>
      <c r="J18" s="630"/>
      <c r="K18" s="630"/>
      <c r="L18" s="630"/>
      <c r="M18" s="532"/>
      <c r="N18" s="343"/>
    </row>
    <row r="19" spans="2:14" ht="12.75" x14ac:dyDescent="0.2">
      <c r="B19" s="617" t="s">
        <v>423</v>
      </c>
      <c r="C19" s="618"/>
      <c r="D19" s="618"/>
      <c r="E19" s="618"/>
      <c r="F19" s="630"/>
      <c r="G19" s="630"/>
      <c r="H19" s="630"/>
      <c r="I19" s="634">
        <f>'Higher cap(s) calculation'!F64</f>
        <v>288822.09999999963</v>
      </c>
      <c r="J19" s="634" t="str">
        <f>'Higher cap(s) calculation'!G64</f>
        <v/>
      </c>
      <c r="K19" s="634" t="str">
        <f>'Higher cap(s) calculation'!H64</f>
        <v/>
      </c>
      <c r="L19" s="634" t="str">
        <f>'Higher cap(s) calculation'!I64</f>
        <v/>
      </c>
      <c r="M19" s="532"/>
      <c r="N19" s="343"/>
    </row>
    <row r="20" spans="2:14" ht="12.75" x14ac:dyDescent="0.2">
      <c r="B20" s="617" t="s">
        <v>425</v>
      </c>
      <c r="C20" s="618"/>
      <c r="D20" s="618"/>
      <c r="E20" s="618"/>
      <c r="F20" s="630"/>
      <c r="G20" s="632"/>
      <c r="H20" s="634">
        <f>'Higher cap(s) calculation'!E67</f>
        <v>1954.005427778322</v>
      </c>
      <c r="I20" s="634" t="str">
        <f>IF($G$11&gt;1,'Higher cap(s) calculation'!F67,"")</f>
        <v/>
      </c>
      <c r="J20" s="634" t="str">
        <f>IF($G$11&gt;2,'Higher cap(s) calculation'!G67,"")</f>
        <v/>
      </c>
      <c r="K20" s="634" t="str">
        <f>IF($G$11&gt;3,'Higher cap(s) calculation'!H67,"")</f>
        <v/>
      </c>
      <c r="L20" s="630"/>
      <c r="M20" s="532"/>
      <c r="N20" s="343"/>
    </row>
    <row r="21" spans="2:14" ht="12.75" x14ac:dyDescent="0.2">
      <c r="B21" s="617" t="s">
        <v>424</v>
      </c>
      <c r="C21" s="618"/>
      <c r="D21" s="618"/>
      <c r="E21" s="618"/>
      <c r="F21" s="630"/>
      <c r="G21" s="630"/>
      <c r="H21" s="630"/>
      <c r="I21" s="634">
        <f>'Higher cap(s) calculation'!F68</f>
        <v>2041.935963696546</v>
      </c>
      <c r="J21" s="634" t="str">
        <f>'Higher cap(s) calculation'!G68</f>
        <v/>
      </c>
      <c r="K21" s="634" t="str">
        <f>'Higher cap(s) calculation'!H68</f>
        <v/>
      </c>
      <c r="L21" s="634" t="str">
        <f>'Higher cap(s) calculation'!I68</f>
        <v/>
      </c>
      <c r="M21" s="532"/>
      <c r="N21" s="343"/>
    </row>
    <row r="22" spans="2:14" ht="12.75" x14ac:dyDescent="0.2">
      <c r="B22" s="631"/>
      <c r="C22" s="629"/>
      <c r="D22" s="629"/>
      <c r="E22" s="629"/>
      <c r="F22" s="630"/>
      <c r="G22" s="630"/>
      <c r="H22" s="630"/>
      <c r="I22" s="630"/>
      <c r="J22" s="630"/>
      <c r="K22" s="630"/>
      <c r="L22" s="630"/>
      <c r="M22" s="532"/>
      <c r="N22" s="343"/>
    </row>
    <row r="23" spans="2:14" ht="12.75" x14ac:dyDescent="0.2">
      <c r="B23" s="631"/>
      <c r="C23" s="629"/>
      <c r="D23" s="629"/>
      <c r="E23" s="629"/>
      <c r="F23" s="630"/>
      <c r="G23" s="630"/>
      <c r="H23" s="630"/>
      <c r="I23" s="630"/>
      <c r="J23" s="630"/>
      <c r="K23" s="630"/>
      <c r="L23" s="630"/>
      <c r="M23" s="532"/>
      <c r="N23" s="343"/>
    </row>
    <row r="24" spans="2:14" ht="12.75" x14ac:dyDescent="0.2">
      <c r="B24" s="620" t="s">
        <v>411</v>
      </c>
      <c r="C24" s="618"/>
      <c r="D24" s="618"/>
      <c r="E24" s="629"/>
      <c r="F24" s="630"/>
      <c r="G24" s="630"/>
      <c r="H24" s="630"/>
      <c r="I24" s="630"/>
      <c r="J24" s="630"/>
      <c r="K24" s="630"/>
      <c r="L24" s="630"/>
      <c r="M24" s="532"/>
      <c r="N24" s="343"/>
    </row>
    <row r="25" spans="2:14" ht="12.75" x14ac:dyDescent="0.2">
      <c r="B25" s="621"/>
      <c r="C25" s="622" t="s">
        <v>416</v>
      </c>
      <c r="D25" s="616"/>
      <c r="E25" s="630"/>
      <c r="F25" s="630"/>
      <c r="G25" s="630"/>
      <c r="H25" s="630"/>
      <c r="I25" s="630"/>
      <c r="J25" s="630"/>
      <c r="K25" s="630"/>
      <c r="L25" s="630"/>
      <c r="M25" s="532"/>
      <c r="N25" s="343"/>
    </row>
    <row r="26" spans="2:14" ht="12.75" x14ac:dyDescent="0.2">
      <c r="B26" s="621"/>
      <c r="C26" s="623" t="s">
        <v>326</v>
      </c>
      <c r="D26" s="616"/>
      <c r="E26" s="630"/>
      <c r="F26" s="630"/>
      <c r="G26" s="630"/>
      <c r="H26" s="635">
        <f>'SRP and LTFP'!C399</f>
        <v>-2.361746613561945E-2</v>
      </c>
      <c r="I26" s="635">
        <f>'SRP and LTFP'!D399</f>
        <v>-4.7382577950397561E-2</v>
      </c>
      <c r="J26" s="635">
        <f>'SRP and LTFP'!E399</f>
        <v>-7.2374144004045737E-2</v>
      </c>
      <c r="K26" s="635">
        <f>'SRP and LTFP'!F399</f>
        <v>-2.3855457314761748E-2</v>
      </c>
      <c r="L26" s="635">
        <f>'SRP and LTFP'!G399</f>
        <v>-1.1694847837880103E-2</v>
      </c>
      <c r="M26" s="532"/>
      <c r="N26" s="343"/>
    </row>
    <row r="27" spans="2:14" ht="12.75" x14ac:dyDescent="0.2">
      <c r="B27" s="621"/>
      <c r="C27" s="623" t="s">
        <v>327</v>
      </c>
      <c r="D27" s="616"/>
      <c r="E27" s="630"/>
      <c r="F27" s="630"/>
      <c r="G27" s="630"/>
      <c r="H27" s="635">
        <f>'SRP and LTFP'!C400</f>
        <v>-2.361746613561945E-2</v>
      </c>
      <c r="I27" s="635">
        <f>'SRP and LTFP'!D400</f>
        <v>-5.8959457574679769E-2</v>
      </c>
      <c r="J27" s="636"/>
      <c r="K27" s="636"/>
      <c r="L27" s="636"/>
      <c r="M27" s="532"/>
      <c r="N27" s="343"/>
    </row>
    <row r="28" spans="2:14" ht="12.75" x14ac:dyDescent="0.2">
      <c r="B28" s="621"/>
      <c r="C28" s="622" t="s">
        <v>418</v>
      </c>
      <c r="D28" s="616"/>
      <c r="E28" s="630"/>
      <c r="F28" s="630"/>
      <c r="G28" s="630"/>
      <c r="H28" s="637"/>
      <c r="I28" s="637"/>
      <c r="J28" s="637"/>
      <c r="K28" s="637"/>
      <c r="L28" s="637"/>
      <c r="M28" s="532"/>
      <c r="N28" s="343"/>
    </row>
    <row r="29" spans="2:14" ht="12.75" x14ac:dyDescent="0.2">
      <c r="B29" s="621"/>
      <c r="C29" s="623" t="s">
        <v>326</v>
      </c>
      <c r="D29" s="616"/>
      <c r="E29" s="630"/>
      <c r="F29" s="630"/>
      <c r="G29" s="630"/>
      <c r="H29" s="638">
        <f>'SRP and LTFP'!C375</f>
        <v>2.4856013551665725</v>
      </c>
      <c r="I29" s="638">
        <f>'SRP and LTFP'!D375</f>
        <v>1.9746015936254979</v>
      </c>
      <c r="J29" s="638">
        <f>'SRP and LTFP'!E375</f>
        <v>1.2310679611650486</v>
      </c>
      <c r="K29" s="638">
        <f>'SRP and LTFP'!F375</f>
        <v>1.3280170122275385</v>
      </c>
      <c r="L29" s="638">
        <f>'SRP and LTFP'!G375</f>
        <v>1.3132593766508187</v>
      </c>
      <c r="M29" s="532"/>
      <c r="N29" s="343"/>
    </row>
    <row r="30" spans="2:14" ht="12.75" x14ac:dyDescent="0.2">
      <c r="B30" s="621"/>
      <c r="C30" s="623" t="s">
        <v>327</v>
      </c>
      <c r="D30" s="616"/>
      <c r="E30" s="630"/>
      <c r="F30" s="630"/>
      <c r="G30" s="630"/>
      <c r="H30" s="638">
        <f>'SRP and LTFP'!C376</f>
        <v>2.4856013551665725</v>
      </c>
      <c r="I30" s="638">
        <f>'SRP and LTFP'!D376</f>
        <v>2.000597609561753</v>
      </c>
      <c r="J30" s="639"/>
      <c r="K30" s="639"/>
      <c r="L30" s="639"/>
      <c r="M30" s="532"/>
      <c r="N30" s="343"/>
    </row>
    <row r="31" spans="2:14" ht="12.75" x14ac:dyDescent="0.2">
      <c r="B31" s="621"/>
      <c r="C31" s="624" t="s">
        <v>417</v>
      </c>
      <c r="D31" s="616"/>
      <c r="E31" s="630"/>
      <c r="F31" s="630"/>
      <c r="G31" s="630"/>
      <c r="H31" s="637"/>
      <c r="I31" s="637"/>
      <c r="J31" s="637"/>
      <c r="K31" s="637"/>
      <c r="L31" s="637"/>
      <c r="M31" s="532"/>
      <c r="N31" s="343"/>
    </row>
    <row r="32" spans="2:14" ht="12.75" x14ac:dyDescent="0.2">
      <c r="B32" s="621"/>
      <c r="C32" s="623" t="s">
        <v>326</v>
      </c>
      <c r="D32" s="616"/>
      <c r="E32" s="630"/>
      <c r="F32" s="630"/>
      <c r="G32" s="630"/>
      <c r="H32" s="638">
        <f>'SRP and LTFP'!C379</f>
        <v>1.2761151891586675</v>
      </c>
      <c r="I32" s="638">
        <f>'SRP and LTFP'!D379</f>
        <v>1.0841633466135459</v>
      </c>
      <c r="J32" s="638">
        <f>'SRP and LTFP'!E379</f>
        <v>0.98174757281553393</v>
      </c>
      <c r="K32" s="638">
        <f>'SRP and LTFP'!F379</f>
        <v>0.98670919723551298</v>
      </c>
      <c r="L32" s="638">
        <f>'SRP and LTFP'!G379</f>
        <v>0.97411516111991547</v>
      </c>
      <c r="M32" s="532"/>
      <c r="N32" s="343"/>
    </row>
    <row r="33" spans="2:14" ht="12.75" x14ac:dyDescent="0.2">
      <c r="B33" s="621"/>
      <c r="C33" s="623" t="s">
        <v>327</v>
      </c>
      <c r="D33" s="616"/>
      <c r="E33" s="630"/>
      <c r="F33" s="630"/>
      <c r="G33" s="630"/>
      <c r="H33" s="638">
        <f>'SRP and LTFP'!C380</f>
        <v>1.2761151891586675</v>
      </c>
      <c r="I33" s="638">
        <f>'SRP and LTFP'!D380</f>
        <v>1.1101593625498007</v>
      </c>
      <c r="J33" s="639"/>
      <c r="K33" s="639"/>
      <c r="L33" s="639"/>
      <c r="M33" s="532"/>
      <c r="N33" s="343"/>
    </row>
    <row r="34" spans="2:14" ht="12.75" x14ac:dyDescent="0.2">
      <c r="B34" s="621"/>
      <c r="C34" s="622" t="s">
        <v>321</v>
      </c>
      <c r="D34" s="616"/>
      <c r="E34" s="630"/>
      <c r="F34" s="630"/>
      <c r="G34" s="630"/>
      <c r="H34" s="637"/>
      <c r="I34" s="637"/>
      <c r="J34" s="637"/>
      <c r="K34" s="637"/>
      <c r="L34" s="637"/>
      <c r="M34" s="532"/>
      <c r="N34" s="343"/>
    </row>
    <row r="35" spans="2:14" ht="12.75" x14ac:dyDescent="0.2">
      <c r="B35" s="621"/>
      <c r="C35" s="623" t="s">
        <v>326</v>
      </c>
      <c r="D35" s="616"/>
      <c r="E35" s="630"/>
      <c r="F35" s="630"/>
      <c r="G35" s="630"/>
      <c r="H35" s="640">
        <f>'SRP and LTFP'!C385</f>
        <v>0.75937316453654014</v>
      </c>
      <c r="I35" s="640">
        <f>'SRP and LTFP'!D385</f>
        <v>1.2883885280332363</v>
      </c>
      <c r="J35" s="640">
        <f>'SRP and LTFP'!E385</f>
        <v>3.5145945228994946</v>
      </c>
      <c r="K35" s="640">
        <f>'SRP and LTFP'!F385</f>
        <v>0.5575542840827965</v>
      </c>
      <c r="L35" s="640">
        <f>'SRP and LTFP'!G385</f>
        <v>0.86037440794608933</v>
      </c>
      <c r="M35" s="532"/>
      <c r="N35" s="343"/>
    </row>
    <row r="36" spans="2:14" ht="12.75" x14ac:dyDescent="0.2">
      <c r="B36" s="621"/>
      <c r="C36" s="623" t="s">
        <v>327</v>
      </c>
      <c r="D36" s="616"/>
      <c r="E36" s="630"/>
      <c r="F36" s="630"/>
      <c r="G36" s="630"/>
      <c r="H36" s="640">
        <f>'SRP and LTFP'!C386</f>
        <v>0.75937316453654014</v>
      </c>
      <c r="I36" s="640">
        <f>'SRP and LTFP'!D386</f>
        <v>1.259138969111069</v>
      </c>
      <c r="J36" s="637"/>
      <c r="K36" s="637"/>
      <c r="L36" s="637"/>
      <c r="M36" s="532"/>
      <c r="N36" s="343"/>
    </row>
    <row r="37" spans="2:14" ht="12.75" x14ac:dyDescent="0.2">
      <c r="B37" s="621"/>
      <c r="C37" s="622" t="s">
        <v>419</v>
      </c>
      <c r="D37" s="616"/>
      <c r="E37" s="630"/>
      <c r="F37" s="630"/>
      <c r="G37" s="630"/>
      <c r="H37" s="637"/>
      <c r="I37" s="637"/>
      <c r="J37" s="637"/>
      <c r="K37" s="637"/>
      <c r="L37" s="637"/>
      <c r="M37" s="532"/>
      <c r="N37" s="343"/>
    </row>
    <row r="38" spans="2:14" ht="12.75" x14ac:dyDescent="0.2">
      <c r="B38" s="621"/>
      <c r="C38" s="623" t="s">
        <v>326</v>
      </c>
      <c r="D38" s="616"/>
      <c r="E38" s="630"/>
      <c r="F38" s="630"/>
      <c r="G38" s="630"/>
      <c r="H38" s="635">
        <f>'SRP and LTFP'!C389</f>
        <v>1.1019703244093376E-2</v>
      </c>
      <c r="I38" s="635">
        <f>'SRP and LTFP'!D389</f>
        <v>3.2317019662893298E-2</v>
      </c>
      <c r="J38" s="635">
        <f>'SRP and LTFP'!E389</f>
        <v>6.5797598257337581E-2</v>
      </c>
      <c r="K38" s="635">
        <f>'SRP and LTFP'!F389</f>
        <v>9.4264899229546437E-2</v>
      </c>
      <c r="L38" s="635">
        <f>'SRP and LTFP'!G389</f>
        <v>8.2966303299679522E-2</v>
      </c>
      <c r="M38" s="532"/>
      <c r="N38" s="343"/>
    </row>
    <row r="39" spans="2:14" ht="12.75" x14ac:dyDescent="0.2">
      <c r="B39" s="621"/>
      <c r="C39" s="623" t="s">
        <v>327</v>
      </c>
      <c r="D39" s="616"/>
      <c r="E39" s="630"/>
      <c r="F39" s="630"/>
      <c r="G39" s="630"/>
      <c r="H39" s="635">
        <f>'SRP and LTFP'!C390</f>
        <v>1.5721443294906549E-2</v>
      </c>
      <c r="I39" s="635">
        <f>'SRP and LTFP'!D390</f>
        <v>3.3441489925482112E-2</v>
      </c>
      <c r="J39" s="636"/>
      <c r="K39" s="636"/>
      <c r="L39" s="636"/>
      <c r="M39" s="532"/>
      <c r="N39" s="343"/>
    </row>
    <row r="40" spans="2:14" ht="12.75" x14ac:dyDescent="0.2">
      <c r="B40" s="621"/>
      <c r="C40" s="622" t="s">
        <v>420</v>
      </c>
      <c r="D40" s="616"/>
      <c r="E40" s="630"/>
      <c r="F40" s="630"/>
      <c r="G40" s="630"/>
      <c r="H40" s="637"/>
      <c r="I40" s="637"/>
      <c r="J40" s="637"/>
      <c r="K40" s="637"/>
      <c r="L40" s="637"/>
      <c r="M40" s="532"/>
      <c r="N40" s="343"/>
    </row>
    <row r="41" spans="2:14" ht="12.75" x14ac:dyDescent="0.2">
      <c r="B41" s="621"/>
      <c r="C41" s="623" t="s">
        <v>326</v>
      </c>
      <c r="D41" s="616"/>
      <c r="E41" s="630"/>
      <c r="F41" s="630"/>
      <c r="G41" s="630"/>
      <c r="H41" s="635">
        <f>'SRP and LTFP'!C393</f>
        <v>6.9760268466812379E-3</v>
      </c>
      <c r="I41" s="635">
        <f>'SRP and LTFP'!D393</f>
        <v>2.3433549453970227E-2</v>
      </c>
      <c r="J41" s="635">
        <f>'SRP and LTFP'!E393</f>
        <v>5.1123355058870272E-2</v>
      </c>
      <c r="K41" s="635">
        <f>'SRP and LTFP'!F393</f>
        <v>7.0752408960142801E-2</v>
      </c>
      <c r="L41" s="635">
        <f>'SRP and LTFP'!G393</f>
        <v>6.2228373894231116E-2</v>
      </c>
      <c r="M41" s="532"/>
      <c r="N41" s="343"/>
    </row>
    <row r="42" spans="2:14" ht="12.75" x14ac:dyDescent="0.2">
      <c r="B42" s="621"/>
      <c r="C42" s="623" t="s">
        <v>327</v>
      </c>
      <c r="D42" s="616"/>
      <c r="E42" s="630"/>
      <c r="F42" s="630"/>
      <c r="G42" s="630"/>
      <c r="H42" s="635">
        <f>'SRP and LTFP'!C394</f>
        <v>6.9760268466812379E-3</v>
      </c>
      <c r="I42" s="635">
        <f>'SRP and LTFP'!D394</f>
        <v>2.3811260584877807E-2</v>
      </c>
      <c r="J42" s="636"/>
      <c r="K42" s="636"/>
      <c r="L42" s="636"/>
      <c r="M42" s="532"/>
      <c r="N42" s="343"/>
    </row>
    <row r="43" spans="2:14" ht="12.75" x14ac:dyDescent="0.2">
      <c r="B43" s="621"/>
      <c r="C43" s="616"/>
      <c r="D43" s="616"/>
      <c r="E43" s="630"/>
      <c r="F43" s="630"/>
      <c r="G43" s="630"/>
      <c r="H43" s="630"/>
      <c r="I43" s="630"/>
      <c r="J43" s="630"/>
      <c r="K43" s="630"/>
      <c r="L43" s="630"/>
      <c r="M43" s="532"/>
      <c r="N43" s="343"/>
    </row>
    <row r="44" spans="2:14" ht="12.75" x14ac:dyDescent="0.2">
      <c r="B44" s="621"/>
      <c r="C44" s="616"/>
      <c r="D44" s="616"/>
      <c r="E44" s="630"/>
      <c r="F44" s="630"/>
      <c r="G44" s="630"/>
      <c r="H44" s="630"/>
      <c r="I44" s="630"/>
      <c r="J44" s="630"/>
      <c r="K44" s="630"/>
      <c r="L44" s="630"/>
      <c r="M44" s="532"/>
      <c r="N44" s="343"/>
    </row>
    <row r="45" spans="2:14" ht="12.75" x14ac:dyDescent="0.2">
      <c r="B45" s="625" t="s">
        <v>414</v>
      </c>
      <c r="C45" s="616"/>
      <c r="D45" s="616"/>
      <c r="E45" s="630"/>
      <c r="F45" s="630"/>
      <c r="G45" s="630"/>
      <c r="H45" s="630"/>
      <c r="I45" s="630"/>
      <c r="J45" s="630"/>
      <c r="K45" s="630"/>
      <c r="L45" s="630"/>
      <c r="M45" s="532"/>
      <c r="N45" s="343"/>
    </row>
    <row r="46" spans="2:14" ht="33.75" customHeight="1" x14ac:dyDescent="0.2">
      <c r="B46" s="631"/>
      <c r="C46" s="630"/>
      <c r="D46" s="630"/>
      <c r="E46" s="848" t="s">
        <v>354</v>
      </c>
      <c r="F46" s="848"/>
      <c r="G46" s="848" t="s">
        <v>355</v>
      </c>
      <c r="H46" s="848"/>
      <c r="I46" s="848" t="s">
        <v>426</v>
      </c>
      <c r="J46" s="848"/>
      <c r="K46" s="849" t="s">
        <v>413</v>
      </c>
      <c r="L46" s="849"/>
      <c r="M46" s="532"/>
      <c r="N46" s="343"/>
    </row>
    <row r="47" spans="2:14" ht="12" x14ac:dyDescent="0.2">
      <c r="B47" s="617" t="s">
        <v>427</v>
      </c>
      <c r="C47" s="616"/>
      <c r="D47" s="616"/>
      <c r="E47" s="850">
        <f>'SRP and LTFP'!C327</f>
        <v>13075073.977933977</v>
      </c>
      <c r="F47" s="851"/>
      <c r="G47" s="850">
        <f>'SRP and LTFP'!D327</f>
        <v>12920473.977933977</v>
      </c>
      <c r="H47" s="851"/>
      <c r="I47" s="850">
        <f>'SRP and LTFP'!E327</f>
        <v>53121236.35468889</v>
      </c>
      <c r="J47" s="851"/>
      <c r="K47" s="850">
        <f>'SRP and LTFP'!F327</f>
        <v>53121236.35468889</v>
      </c>
      <c r="L47" s="851"/>
      <c r="M47" s="532"/>
      <c r="N47" s="343"/>
    </row>
    <row r="48" spans="2:14" ht="12" x14ac:dyDescent="0.2">
      <c r="B48" s="617" t="s">
        <v>428</v>
      </c>
      <c r="C48" s="616"/>
      <c r="D48" s="616"/>
      <c r="E48" s="850">
        <f>'SRP and LTFP'!C328</f>
        <v>10948942.583550001</v>
      </c>
      <c r="F48" s="851"/>
      <c r="G48" s="850">
        <f>'SRP and LTFP'!D328</f>
        <v>10911542.583550001</v>
      </c>
      <c r="H48" s="851"/>
      <c r="I48" s="850">
        <f>'SRP and LTFP'!E328</f>
        <v>43638532.872813858</v>
      </c>
      <c r="J48" s="851"/>
      <c r="K48" s="850">
        <f>'SRP and LTFP'!F328</f>
        <v>43638532.872813858</v>
      </c>
      <c r="L48" s="851"/>
      <c r="M48" s="532"/>
      <c r="N48" s="343"/>
    </row>
    <row r="49" spans="2:14" ht="12" x14ac:dyDescent="0.2">
      <c r="B49" s="617" t="s">
        <v>429</v>
      </c>
      <c r="C49" s="616"/>
      <c r="D49" s="616"/>
      <c r="E49" s="850">
        <f>'SRP and LTFP'!C329</f>
        <v>2126131.3943839762</v>
      </c>
      <c r="F49" s="851"/>
      <c r="G49" s="850">
        <f>'SRP and LTFP'!D329</f>
        <v>2008931.3943839762</v>
      </c>
      <c r="H49" s="851"/>
      <c r="I49" s="850">
        <f>'SRP and LTFP'!E329</f>
        <v>9482703.4818750322</v>
      </c>
      <c r="J49" s="851"/>
      <c r="K49" s="850">
        <f>'SRP and LTFP'!F329</f>
        <v>9482703.4818750322</v>
      </c>
      <c r="L49" s="851"/>
      <c r="M49" s="532"/>
      <c r="N49" s="343"/>
    </row>
    <row r="50" spans="2:14" ht="12.75" x14ac:dyDescent="0.2">
      <c r="B50" s="619"/>
      <c r="C50" s="616"/>
      <c r="D50" s="616"/>
      <c r="E50" s="630"/>
      <c r="F50" s="630"/>
      <c r="G50" s="630"/>
      <c r="H50" s="630"/>
      <c r="I50" s="630"/>
      <c r="J50" s="630"/>
      <c r="K50" s="630"/>
      <c r="L50" s="630"/>
      <c r="M50" s="532"/>
      <c r="N50" s="343"/>
    </row>
    <row r="51" spans="2:14" ht="12" customHeight="1" x14ac:dyDescent="0.2">
      <c r="B51" s="846" t="s">
        <v>430</v>
      </c>
      <c r="C51" s="847"/>
      <c r="D51" s="847"/>
      <c r="E51" s="850">
        <f>'SRP and LTFP'!C331</f>
        <v>4230891.8600000003</v>
      </c>
      <c r="F51" s="851"/>
      <c r="G51" s="850">
        <f>'SRP and LTFP'!D331</f>
        <v>4165891.8600000003</v>
      </c>
      <c r="H51" s="851"/>
      <c r="I51" s="850">
        <f>'SRP and LTFP'!E331</f>
        <v>17659891.859999999</v>
      </c>
      <c r="J51" s="851"/>
      <c r="K51" s="850">
        <f>'SRP and LTFP'!F331</f>
        <v>17659891.859999999</v>
      </c>
      <c r="L51" s="851"/>
      <c r="M51" s="532"/>
      <c r="N51" s="343"/>
    </row>
    <row r="52" spans="2:14" ht="14.25" customHeight="1" x14ac:dyDescent="0.2">
      <c r="B52" s="846"/>
      <c r="C52" s="847"/>
      <c r="D52" s="847"/>
      <c r="E52" s="630"/>
      <c r="F52" s="630"/>
      <c r="G52" s="630"/>
      <c r="H52" s="630"/>
      <c r="I52" s="630"/>
      <c r="J52" s="630"/>
      <c r="K52" s="630"/>
      <c r="L52" s="630"/>
      <c r="M52" s="532"/>
      <c r="N52" s="343"/>
    </row>
    <row r="53" spans="2:14" x14ac:dyDescent="0.2">
      <c r="B53" s="563"/>
      <c r="C53" s="564"/>
      <c r="D53" s="564"/>
      <c r="E53" s="564"/>
      <c r="F53" s="564"/>
      <c r="G53" s="564"/>
      <c r="H53" s="564"/>
      <c r="I53" s="564"/>
      <c r="J53" s="564"/>
      <c r="K53" s="564"/>
      <c r="L53" s="564"/>
      <c r="M53" s="564"/>
      <c r="N53" s="565"/>
    </row>
  </sheetData>
  <mergeCells count="23">
    <mergeCell ref="B51:D52"/>
    <mergeCell ref="B16:E17"/>
    <mergeCell ref="E49:F49"/>
    <mergeCell ref="G49:H49"/>
    <mergeCell ref="I49:J49"/>
    <mergeCell ref="E47:F47"/>
    <mergeCell ref="G47:H47"/>
    <mergeCell ref="I47:J47"/>
    <mergeCell ref="K49:L49"/>
    <mergeCell ref="E51:F51"/>
    <mergeCell ref="G51:H51"/>
    <mergeCell ref="I51:J51"/>
    <mergeCell ref="K51:L51"/>
    <mergeCell ref="K47:L47"/>
    <mergeCell ref="E48:F48"/>
    <mergeCell ref="G48:H48"/>
    <mergeCell ref="I48:J48"/>
    <mergeCell ref="K48:L48"/>
    <mergeCell ref="B11:E12"/>
    <mergeCell ref="E46:F46"/>
    <mergeCell ref="G46:H46"/>
    <mergeCell ref="I46:J46"/>
    <mergeCell ref="K46:L46"/>
  </mergeCells>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0"/>
  <sheetViews>
    <sheetView workbookViewId="0">
      <selection activeCell="D37" sqref="D37"/>
    </sheetView>
  </sheetViews>
  <sheetFormatPr defaultRowHeight="11.25" x14ac:dyDescent="0.2"/>
  <cols>
    <col min="1" max="1" width="44" style="1" customWidth="1"/>
    <col min="2" max="2" width="81.1640625" style="1" customWidth="1"/>
    <col min="3" max="16384" width="9.33203125" style="1"/>
  </cols>
  <sheetData>
    <row r="2" spans="1:5" ht="18" x14ac:dyDescent="0.2">
      <c r="A2" s="2" t="s">
        <v>400</v>
      </c>
    </row>
    <row r="4" spans="1:5" ht="12.75" x14ac:dyDescent="0.2">
      <c r="A4" s="556" t="s">
        <v>401</v>
      </c>
    </row>
    <row r="6" spans="1:5" x14ac:dyDescent="0.2">
      <c r="A6" s="566" t="s">
        <v>403</v>
      </c>
    </row>
    <row r="7" spans="1:5" x14ac:dyDescent="0.2">
      <c r="A7" s="567"/>
      <c r="B7" s="568"/>
      <c r="C7" s="568"/>
      <c r="D7" s="568"/>
      <c r="E7" s="569"/>
    </row>
    <row r="8" spans="1:5" x14ac:dyDescent="0.2">
      <c r="A8" s="570"/>
      <c r="B8" s="540"/>
      <c r="C8" s="540"/>
      <c r="D8" s="540"/>
      <c r="E8" s="571"/>
    </row>
    <row r="9" spans="1:5" x14ac:dyDescent="0.2">
      <c r="A9" s="570"/>
      <c r="B9" s="540"/>
      <c r="C9" s="540"/>
      <c r="D9" s="540"/>
      <c r="E9" s="571"/>
    </row>
    <row r="10" spans="1:5" x14ac:dyDescent="0.2">
      <c r="A10" s="570"/>
      <c r="B10" s="540"/>
      <c r="C10" s="540"/>
      <c r="D10" s="540"/>
      <c r="E10" s="571"/>
    </row>
    <row r="11" spans="1:5" x14ac:dyDescent="0.2">
      <c r="A11" s="557"/>
      <c r="B11" s="558"/>
      <c r="C11" s="559"/>
      <c r="D11" s="540"/>
      <c r="E11" s="571"/>
    </row>
    <row r="12" spans="1:5" ht="12.75" x14ac:dyDescent="0.2">
      <c r="A12" s="560" t="s">
        <v>402</v>
      </c>
      <c r="B12" s="550" t="s">
        <v>395</v>
      </c>
      <c r="C12" s="343"/>
      <c r="D12" s="540"/>
      <c r="E12" s="571"/>
    </row>
    <row r="13" spans="1:5" ht="12.75" x14ac:dyDescent="0.2">
      <c r="A13" s="561" t="s">
        <v>394</v>
      </c>
      <c r="B13" s="553" t="str">
        <f>IF(' Instructions'!K8="","Issue - missing contact name","OK")</f>
        <v>OK</v>
      </c>
      <c r="C13" s="343"/>
      <c r="D13" s="540"/>
      <c r="E13" s="571"/>
    </row>
    <row r="14" spans="1:5" ht="12.75" x14ac:dyDescent="0.2">
      <c r="A14" s="561" t="s">
        <v>394</v>
      </c>
      <c r="B14" s="553" t="str">
        <f>IF(' Instructions'!K11="","Issue - missing contact email","OK")</f>
        <v>OK</v>
      </c>
      <c r="C14" s="343"/>
      <c r="D14" s="540"/>
      <c r="E14" s="571"/>
    </row>
    <row r="15" spans="1:5" ht="12.75" x14ac:dyDescent="0.2">
      <c r="A15" s="561" t="s">
        <v>396</v>
      </c>
      <c r="B15" s="554" t="str">
        <f>IF((SUM('Revenue - Base year'!H153:T153))=(SUM('Revenue - Base year'!V12:V152)),"OK","Issue - totals error")</f>
        <v>OK</v>
      </c>
      <c r="C15" s="343"/>
      <c r="D15" s="540"/>
      <c r="E15" s="571"/>
    </row>
    <row r="16" spans="1:5" ht="12.75" x14ac:dyDescent="0.2">
      <c r="A16" s="561" t="s">
        <v>396</v>
      </c>
      <c r="B16" s="554" t="str">
        <f>IF('Revenue - Base year'!F178="OK","OK","Issue - other revenue error")</f>
        <v>OK</v>
      </c>
      <c r="C16" s="343"/>
      <c r="D16" s="540"/>
      <c r="E16" s="571"/>
    </row>
    <row r="17" spans="1:5" ht="12.75" x14ac:dyDescent="0.2">
      <c r="A17" s="561" t="s">
        <v>367</v>
      </c>
      <c r="B17" s="554" t="str">
        <f>IF(SUM('Expenditure - Base year'!H152:Q152)=SUM('Expenditure - Base year'!R11:R151),"OK","Issue - totals error")</f>
        <v>OK</v>
      </c>
      <c r="C17" s="343"/>
      <c r="D17" s="540"/>
      <c r="E17" s="571"/>
    </row>
    <row r="18" spans="1:5" ht="12.75" x14ac:dyDescent="0.2">
      <c r="A18" s="561" t="s">
        <v>367</v>
      </c>
      <c r="B18" s="554" t="str">
        <f>IF('Expenditure - Base year'!F177="OK","OK","Issue - other expenditure issue")</f>
        <v>OK</v>
      </c>
      <c r="C18" s="343"/>
      <c r="D18" s="540"/>
      <c r="E18" s="571"/>
    </row>
    <row r="19" spans="1:5" ht="12.75" x14ac:dyDescent="0.2">
      <c r="A19" s="561" t="s">
        <v>368</v>
      </c>
      <c r="B19" s="554" t="str">
        <f>IF(SUM('Assets - Base year'!N193:Q193)=SUM('Assets - Base year'!R170:R192),"OK","Issue - totals error")</f>
        <v>OK</v>
      </c>
      <c r="C19" s="343"/>
      <c r="D19" s="540"/>
      <c r="E19" s="571"/>
    </row>
    <row r="20" spans="1:5" ht="12.75" x14ac:dyDescent="0.2">
      <c r="A20" s="561" t="s">
        <v>192</v>
      </c>
      <c r="B20" s="554" t="str">
        <f>IF(SUM('Revenue - NHC'!H153:T153)=SUM('Revenue - NHC'!V12:V152),"OK","Issue - Totals error")</f>
        <v>OK</v>
      </c>
      <c r="C20" s="343"/>
      <c r="D20" s="540"/>
      <c r="E20" s="571"/>
    </row>
    <row r="21" spans="1:5" ht="12.75" x14ac:dyDescent="0.2">
      <c r="A21" s="561" t="s">
        <v>192</v>
      </c>
      <c r="B21" s="554" t="str">
        <f>IF('Revenue - NHC'!F178="OK","OK","Issue - other revenue error")</f>
        <v>OK</v>
      </c>
      <c r="C21" s="343"/>
      <c r="D21" s="540"/>
      <c r="E21" s="571"/>
    </row>
    <row r="22" spans="1:5" ht="12.75" x14ac:dyDescent="0.2">
      <c r="A22" s="561" t="s">
        <v>193</v>
      </c>
      <c r="B22" s="554" t="str">
        <f>IF(SUM('Expenditure- NHC'!H152:Q152)=SUM('Expenditure- NHC'!R11:R151),"OK","Issue - totals error")</f>
        <v>OK</v>
      </c>
      <c r="C22" s="343"/>
      <c r="D22" s="540"/>
      <c r="E22" s="571"/>
    </row>
    <row r="23" spans="1:5" ht="12.75" x14ac:dyDescent="0.2">
      <c r="A23" s="561" t="s">
        <v>193</v>
      </c>
      <c r="B23" s="554" t="str">
        <f>IF('Expenditure- NHC'!F177="OK","OK","Issue - Other expenditure error")</f>
        <v>OK</v>
      </c>
      <c r="C23" s="343"/>
      <c r="D23" s="540"/>
      <c r="E23" s="571"/>
    </row>
    <row r="24" spans="1:5" ht="12.75" x14ac:dyDescent="0.2">
      <c r="A24" s="561" t="s">
        <v>194</v>
      </c>
      <c r="B24" s="554" t="str">
        <f>IF(SUM('Assets - NHC'!N188:Q188)=SUM('Assets - NHC'!R165:R187),"OK","Issue - totals error")</f>
        <v>OK</v>
      </c>
      <c r="C24" s="343"/>
      <c r="D24" s="540"/>
      <c r="E24" s="571"/>
    </row>
    <row r="25" spans="1:5" ht="12.75" x14ac:dyDescent="0.2">
      <c r="A25" s="561" t="s">
        <v>397</v>
      </c>
      <c r="B25" s="554" t="str">
        <f>IF(SUM('Revenue - WHC'!V12:V152)=SUM('Revenue - WHC'!H153:T153),"OK","Issue - totals error")</f>
        <v>OK</v>
      </c>
      <c r="C25" s="343"/>
      <c r="D25" s="540"/>
      <c r="E25" s="571"/>
    </row>
    <row r="26" spans="1:5" ht="12.75" x14ac:dyDescent="0.2">
      <c r="A26" s="561" t="s">
        <v>397</v>
      </c>
      <c r="B26" s="554" t="str">
        <f>IF('Revenue - WHC'!F178="OK","OK","Issue - other revenue error")</f>
        <v>OK</v>
      </c>
      <c r="C26" s="343"/>
      <c r="D26" s="540"/>
      <c r="E26" s="571"/>
    </row>
    <row r="27" spans="1:5" ht="12.75" x14ac:dyDescent="0.2">
      <c r="A27" s="561" t="s">
        <v>225</v>
      </c>
      <c r="B27" s="554" t="str">
        <f>IF(SUM('Expenditure - WHC'!H152:Q152)=SUM('Expenditure - WHC'!R11:R151),"OK","Issue - totals error")</f>
        <v>OK</v>
      </c>
      <c r="C27" s="343"/>
      <c r="D27" s="540"/>
      <c r="E27" s="571"/>
    </row>
    <row r="28" spans="1:5" ht="12.75" x14ac:dyDescent="0.2">
      <c r="A28" s="561" t="s">
        <v>225</v>
      </c>
      <c r="B28" s="554" t="str">
        <f>IF('Expenditure - WHC'!F177="OK","OK","Issue - other expenditure error")</f>
        <v>OK</v>
      </c>
      <c r="C28" s="343"/>
      <c r="D28" s="540"/>
      <c r="E28" s="571"/>
    </row>
    <row r="29" spans="1:5" ht="12.75" x14ac:dyDescent="0.2">
      <c r="A29" s="561" t="s">
        <v>198</v>
      </c>
      <c r="B29" s="554" t="str">
        <f>IF(SUM('Assets - WHC'!N203:Q203)=SUM('Assets - WHC'!R180:R202),"OK","Issue - totals error")</f>
        <v>OK</v>
      </c>
      <c r="C29" s="343"/>
      <c r="D29" s="540"/>
      <c r="E29" s="571"/>
    </row>
    <row r="30" spans="1:5" ht="12.75" x14ac:dyDescent="0.2">
      <c r="A30" s="561" t="s">
        <v>398</v>
      </c>
      <c r="B30" s="555" t="str">
        <f>IF('SRP and LTFP'!C20='Revenue - Base year'!U153,"OK","Issue - Total rates and charges in 'Revenue - base year' not consistant with 'SRP and LTFP'")</f>
        <v>Issue - Total rates and charges in 'Revenue - base year' not consistant with 'SRP and LTFP'</v>
      </c>
      <c r="C30" s="343"/>
      <c r="D30" s="540"/>
      <c r="E30" s="571"/>
    </row>
    <row r="31" spans="1:5" ht="12.75" x14ac:dyDescent="0.2">
      <c r="A31" s="561" t="s">
        <v>398</v>
      </c>
      <c r="B31" s="554" t="str">
        <f>IF('SRP and LTFP'!D20='Revenue - WHC'!U153,"OK","Issue - total rates and charges inconsistant between 'Revenue WHC' and 'SRP and LTFP'")</f>
        <v>Issue - total rates and charges inconsistant between 'Revenue WHC' and 'SRP and LTFP'</v>
      </c>
      <c r="C31" s="343"/>
      <c r="D31" s="540"/>
      <c r="E31" s="571"/>
    </row>
    <row r="32" spans="1:5" ht="12.75" x14ac:dyDescent="0.2">
      <c r="A32" s="561" t="s">
        <v>398</v>
      </c>
      <c r="B32" s="554" t="str">
        <f>IF('SRP and LTFP'!B345="[enter other assumptions used to populate the SRP and LTFP]","Issue - Check to see if assumptions section is completed correctly","OK")</f>
        <v>OK</v>
      </c>
      <c r="C32" s="343"/>
      <c r="D32" s="540"/>
      <c r="E32" s="571"/>
    </row>
    <row r="33" spans="1:5" ht="12.75" x14ac:dyDescent="0.2">
      <c r="A33" s="561" t="s">
        <v>399</v>
      </c>
      <c r="B33" s="554" t="str">
        <f>IF('Higher cap(s) calculation'!$C$11=COUNT('Higher cap(s) calculation'!F62:I62),"OK","Issue - potential error in the higher cap calculations")</f>
        <v>OK</v>
      </c>
      <c r="C33" s="343"/>
      <c r="D33" s="540"/>
      <c r="E33" s="571"/>
    </row>
    <row r="34" spans="1:5" ht="12.75" x14ac:dyDescent="0.2">
      <c r="A34" s="561" t="s">
        <v>399</v>
      </c>
      <c r="B34" s="554" t="str">
        <f>IF('Higher cap(s) calculation'!$C$11=COUNT('Higher cap(s) calculation'!F87:I87),"OK","Issue - potential error in the higher cap calculations")</f>
        <v>OK</v>
      </c>
      <c r="C34" s="343"/>
      <c r="D34" s="540"/>
      <c r="E34" s="571"/>
    </row>
    <row r="35" spans="1:5" ht="12.75" customHeight="1" x14ac:dyDescent="0.2">
      <c r="A35" s="853" t="s">
        <v>399</v>
      </c>
      <c r="B35" s="852"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5" s="343"/>
      <c r="D35" s="540"/>
      <c r="E35" s="571"/>
    </row>
    <row r="36" spans="1:5" ht="12.75" customHeight="1" x14ac:dyDescent="0.2">
      <c r="A36" s="853"/>
      <c r="B36" s="852"/>
      <c r="C36" s="343"/>
      <c r="D36" s="540"/>
      <c r="E36" s="571"/>
    </row>
    <row r="37" spans="1:5" ht="11.25" customHeight="1" x14ac:dyDescent="0.2">
      <c r="A37" s="853"/>
      <c r="B37" s="852"/>
      <c r="C37" s="343"/>
      <c r="D37" s="540"/>
      <c r="E37" s="571"/>
    </row>
    <row r="38" spans="1:5" ht="11.25" customHeight="1" x14ac:dyDescent="0.2">
      <c r="A38" s="853" t="s">
        <v>399</v>
      </c>
      <c r="B38" s="854"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8" s="343"/>
      <c r="D38" s="540"/>
      <c r="E38" s="571"/>
    </row>
    <row r="39" spans="1:5" ht="11.25" customHeight="1" x14ac:dyDescent="0.2">
      <c r="A39" s="853"/>
      <c r="B39" s="854"/>
      <c r="C39" s="343"/>
      <c r="D39" s="540"/>
      <c r="E39" s="571"/>
    </row>
    <row r="40" spans="1:5" ht="11.25" customHeight="1" x14ac:dyDescent="0.2">
      <c r="A40" s="853"/>
      <c r="B40" s="854"/>
      <c r="C40" s="343"/>
      <c r="D40" s="540"/>
      <c r="E40" s="571"/>
    </row>
    <row r="41" spans="1:5" ht="12.75" x14ac:dyDescent="0.2">
      <c r="A41" s="561" t="s">
        <v>399</v>
      </c>
      <c r="B41" s="576" t="str">
        <f>IF(('Higher cap(s) calculation'!D42)="","Issue - check to see if historic annualised supps assumptions have been provided","OK")</f>
        <v>Issue - check to see if historic annualised supps assumptions have been provided</v>
      </c>
      <c r="C41" s="343"/>
      <c r="D41" s="540"/>
      <c r="E41" s="571"/>
    </row>
    <row r="42" spans="1:5" ht="12.75" x14ac:dyDescent="0.2">
      <c r="A42" s="561" t="s">
        <v>447</v>
      </c>
      <c r="B42" s="532" t="str">
        <f>IF('Services - NHC'!E19='Services - WHC'!E19,"OK","Issue - Services don't line up between the services sheets")</f>
        <v>OK</v>
      </c>
      <c r="C42" s="343"/>
      <c r="D42" s="540"/>
      <c r="E42" s="571"/>
    </row>
    <row r="43" spans="1:5" ht="12.75" x14ac:dyDescent="0.2">
      <c r="A43" s="561" t="s">
        <v>447</v>
      </c>
      <c r="B43" s="532" t="str">
        <f>IF('Services - WHC'!E29='Services - NHC'!E29,"OK","Issue - Services don't line up between the services sheets")</f>
        <v>OK</v>
      </c>
      <c r="C43" s="343"/>
      <c r="D43" s="540"/>
      <c r="E43" s="571"/>
    </row>
    <row r="44" spans="1:5" ht="12.75" x14ac:dyDescent="0.2">
      <c r="A44" s="561" t="s">
        <v>447</v>
      </c>
      <c r="B44" s="532" t="str">
        <f>IF('Services - NHC'!E39='Services - WHC'!E39,"OK","Issue - Services don't line up between the services sheets")</f>
        <v>OK</v>
      </c>
      <c r="C44" s="343"/>
      <c r="D44" s="540"/>
      <c r="E44" s="571"/>
    </row>
    <row r="45" spans="1:5" ht="12.75" x14ac:dyDescent="0.2">
      <c r="A45" s="561" t="s">
        <v>447</v>
      </c>
      <c r="B45" s="532" t="str">
        <f>IF('Services - NHC'!E59='Services - WHC'!E59,"OK","Issue - Services don't line up between the services sheets")</f>
        <v>OK</v>
      </c>
      <c r="C45" s="343"/>
      <c r="D45" s="540"/>
      <c r="E45" s="571"/>
    </row>
    <row r="46" spans="1:5" x14ac:dyDescent="0.2">
      <c r="A46" s="562"/>
      <c r="B46" s="532"/>
      <c r="C46" s="343"/>
      <c r="D46" s="540"/>
      <c r="E46" s="571"/>
    </row>
    <row r="47" spans="1:5" x14ac:dyDescent="0.2">
      <c r="A47" s="562"/>
      <c r="B47" s="532"/>
      <c r="C47" s="343"/>
      <c r="D47" s="540"/>
      <c r="E47" s="571"/>
    </row>
    <row r="48" spans="1:5" x14ac:dyDescent="0.2">
      <c r="A48" s="562"/>
      <c r="B48" s="532"/>
      <c r="C48" s="343"/>
      <c r="D48" s="540"/>
      <c r="E48" s="571"/>
    </row>
    <row r="49" spans="1:5" x14ac:dyDescent="0.2">
      <c r="A49" s="562"/>
      <c r="B49" s="532"/>
      <c r="C49" s="343"/>
      <c r="D49" s="540"/>
      <c r="E49" s="571"/>
    </row>
    <row r="50" spans="1:5" x14ac:dyDescent="0.2">
      <c r="A50" s="562"/>
      <c r="B50" s="532"/>
      <c r="C50" s="343"/>
      <c r="D50" s="540"/>
      <c r="E50" s="571"/>
    </row>
    <row r="51" spans="1:5" x14ac:dyDescent="0.2">
      <c r="A51" s="562"/>
      <c r="B51" s="532"/>
      <c r="C51" s="343"/>
      <c r="D51" s="540"/>
      <c r="E51" s="571"/>
    </row>
    <row r="52" spans="1:5" x14ac:dyDescent="0.2">
      <c r="A52" s="563"/>
      <c r="B52" s="564"/>
      <c r="C52" s="565"/>
      <c r="D52" s="540"/>
      <c r="E52" s="571"/>
    </row>
    <row r="53" spans="1:5" x14ac:dyDescent="0.2">
      <c r="A53" s="570"/>
      <c r="B53" s="540"/>
      <c r="C53" s="540"/>
      <c r="D53" s="540"/>
      <c r="E53" s="571"/>
    </row>
    <row r="54" spans="1:5" x14ac:dyDescent="0.2">
      <c r="A54" s="570"/>
      <c r="B54" s="540"/>
      <c r="C54" s="540"/>
      <c r="D54" s="540"/>
      <c r="E54" s="571"/>
    </row>
    <row r="55" spans="1:5" x14ac:dyDescent="0.2">
      <c r="A55" s="570"/>
      <c r="B55" s="540"/>
      <c r="C55" s="540"/>
      <c r="D55" s="540"/>
      <c r="E55" s="571"/>
    </row>
    <row r="56" spans="1:5" x14ac:dyDescent="0.2">
      <c r="A56" s="570"/>
      <c r="B56" s="540"/>
      <c r="C56" s="540"/>
      <c r="D56" s="540"/>
      <c r="E56" s="571"/>
    </row>
    <row r="57" spans="1:5" x14ac:dyDescent="0.2">
      <c r="A57" s="570"/>
      <c r="B57" s="540"/>
      <c r="C57" s="540"/>
      <c r="D57" s="540"/>
      <c r="E57" s="571"/>
    </row>
    <row r="58" spans="1:5" x14ac:dyDescent="0.2">
      <c r="A58" s="570"/>
      <c r="B58" s="540"/>
      <c r="C58" s="540"/>
      <c r="D58" s="540"/>
      <c r="E58" s="571"/>
    </row>
    <row r="59" spans="1:5" x14ac:dyDescent="0.2">
      <c r="A59" s="570"/>
      <c r="B59" s="540"/>
      <c r="C59" s="540"/>
      <c r="D59" s="540"/>
      <c r="E59" s="571"/>
    </row>
    <row r="60" spans="1:5" x14ac:dyDescent="0.2">
      <c r="A60" s="570"/>
      <c r="B60" s="540"/>
      <c r="C60" s="540"/>
      <c r="D60" s="540"/>
      <c r="E60" s="571"/>
    </row>
    <row r="61" spans="1:5" x14ac:dyDescent="0.2">
      <c r="A61" s="570"/>
      <c r="B61" s="540"/>
      <c r="C61" s="540"/>
      <c r="D61" s="540"/>
      <c r="E61" s="571"/>
    </row>
    <row r="62" spans="1:5" x14ac:dyDescent="0.2">
      <c r="A62" s="570"/>
      <c r="B62" s="540"/>
      <c r="C62" s="540"/>
      <c r="D62" s="540"/>
      <c r="E62" s="571"/>
    </row>
    <row r="63" spans="1:5" x14ac:dyDescent="0.2">
      <c r="A63" s="570"/>
      <c r="B63" s="540"/>
      <c r="C63" s="540"/>
      <c r="D63" s="540"/>
      <c r="E63" s="571"/>
    </row>
    <row r="64" spans="1:5" x14ac:dyDescent="0.2">
      <c r="A64" s="570"/>
      <c r="B64" s="540"/>
      <c r="C64" s="540"/>
      <c r="D64" s="540"/>
      <c r="E64" s="571"/>
    </row>
    <row r="65" spans="1:5" x14ac:dyDescent="0.2">
      <c r="A65" s="570"/>
      <c r="B65" s="540"/>
      <c r="C65" s="540"/>
      <c r="D65" s="540"/>
      <c r="E65" s="571"/>
    </row>
    <row r="66" spans="1:5" x14ac:dyDescent="0.2">
      <c r="A66" s="570"/>
      <c r="B66" s="540"/>
      <c r="C66" s="540"/>
      <c r="D66" s="540"/>
      <c r="E66" s="571"/>
    </row>
    <row r="67" spans="1:5" x14ac:dyDescent="0.2">
      <c r="A67" s="570"/>
      <c r="B67" s="540"/>
      <c r="C67" s="540"/>
      <c r="D67" s="540"/>
      <c r="E67" s="571"/>
    </row>
    <row r="68" spans="1:5" x14ac:dyDescent="0.2">
      <c r="A68" s="570"/>
      <c r="B68" s="540"/>
      <c r="C68" s="540"/>
      <c r="D68" s="540"/>
      <c r="E68" s="571"/>
    </row>
    <row r="69" spans="1:5" x14ac:dyDescent="0.2">
      <c r="A69" s="570"/>
      <c r="B69" s="540"/>
      <c r="C69" s="540"/>
      <c r="D69" s="540"/>
      <c r="E69" s="571"/>
    </row>
    <row r="70" spans="1:5" x14ac:dyDescent="0.2">
      <c r="A70" s="570"/>
      <c r="B70" s="540"/>
      <c r="C70" s="540"/>
      <c r="D70" s="540"/>
      <c r="E70" s="571"/>
    </row>
    <row r="71" spans="1:5" x14ac:dyDescent="0.2">
      <c r="A71" s="570"/>
      <c r="B71" s="540"/>
      <c r="C71" s="540"/>
      <c r="D71" s="540"/>
      <c r="E71" s="571"/>
    </row>
    <row r="72" spans="1:5" x14ac:dyDescent="0.2">
      <c r="A72" s="570"/>
      <c r="B72" s="540"/>
      <c r="C72" s="540"/>
      <c r="D72" s="540"/>
      <c r="E72" s="571"/>
    </row>
    <row r="73" spans="1:5" x14ac:dyDescent="0.2">
      <c r="A73" s="570"/>
      <c r="B73" s="540"/>
      <c r="C73" s="540"/>
      <c r="D73" s="540"/>
      <c r="E73" s="571"/>
    </row>
    <row r="74" spans="1:5" x14ac:dyDescent="0.2">
      <c r="A74" s="570"/>
      <c r="B74" s="540"/>
      <c r="C74" s="540"/>
      <c r="D74" s="540"/>
      <c r="E74" s="571"/>
    </row>
    <row r="75" spans="1:5" x14ac:dyDescent="0.2">
      <c r="A75" s="570"/>
      <c r="B75" s="540"/>
      <c r="C75" s="540"/>
      <c r="D75" s="540"/>
      <c r="E75" s="571"/>
    </row>
    <row r="76" spans="1:5" x14ac:dyDescent="0.2">
      <c r="A76" s="570"/>
      <c r="B76" s="540"/>
      <c r="C76" s="540"/>
      <c r="D76" s="540"/>
      <c r="E76" s="571"/>
    </row>
    <row r="77" spans="1:5" x14ac:dyDescent="0.2">
      <c r="A77" s="570"/>
      <c r="B77" s="540"/>
      <c r="C77" s="540"/>
      <c r="D77" s="540"/>
      <c r="E77" s="571"/>
    </row>
    <row r="78" spans="1:5" x14ac:dyDescent="0.2">
      <c r="A78" s="570"/>
      <c r="B78" s="540"/>
      <c r="C78" s="540"/>
      <c r="D78" s="540"/>
      <c r="E78" s="571"/>
    </row>
    <row r="79" spans="1:5" x14ac:dyDescent="0.2">
      <c r="A79" s="570"/>
      <c r="B79" s="540"/>
      <c r="C79" s="540"/>
      <c r="D79" s="540"/>
      <c r="E79" s="571"/>
    </row>
    <row r="80" spans="1:5" x14ac:dyDescent="0.2">
      <c r="A80" s="570"/>
      <c r="B80" s="540"/>
      <c r="C80" s="540"/>
      <c r="D80" s="540"/>
      <c r="E80" s="571"/>
    </row>
    <row r="81" spans="1:5" x14ac:dyDescent="0.2">
      <c r="A81" s="570"/>
      <c r="B81" s="540"/>
      <c r="C81" s="540"/>
      <c r="D81" s="540"/>
      <c r="E81" s="571"/>
    </row>
    <row r="82" spans="1:5" x14ac:dyDescent="0.2">
      <c r="A82" s="570"/>
      <c r="B82" s="540"/>
      <c r="C82" s="540"/>
      <c r="D82" s="540"/>
      <c r="E82" s="571"/>
    </row>
    <row r="83" spans="1:5" x14ac:dyDescent="0.2">
      <c r="A83" s="570"/>
      <c r="B83" s="540"/>
      <c r="C83" s="540"/>
      <c r="D83" s="540"/>
      <c r="E83" s="571"/>
    </row>
    <row r="84" spans="1:5" x14ac:dyDescent="0.2">
      <c r="A84" s="570"/>
      <c r="B84" s="540"/>
      <c r="C84" s="540"/>
      <c r="D84" s="540"/>
      <c r="E84" s="571"/>
    </row>
    <row r="85" spans="1:5" x14ac:dyDescent="0.2">
      <c r="A85" s="570"/>
      <c r="B85" s="540"/>
      <c r="C85" s="540"/>
      <c r="D85" s="540"/>
      <c r="E85" s="571"/>
    </row>
    <row r="86" spans="1:5" x14ac:dyDescent="0.2">
      <c r="A86" s="570"/>
      <c r="B86" s="540"/>
      <c r="C86" s="540"/>
      <c r="D86" s="540"/>
      <c r="E86" s="571"/>
    </row>
    <row r="87" spans="1:5" x14ac:dyDescent="0.2">
      <c r="A87" s="570"/>
      <c r="B87" s="540"/>
      <c r="C87" s="540"/>
      <c r="D87" s="540"/>
      <c r="E87" s="571"/>
    </row>
    <row r="88" spans="1:5" x14ac:dyDescent="0.2">
      <c r="A88" s="570"/>
      <c r="B88" s="540"/>
      <c r="C88" s="540"/>
      <c r="D88" s="540"/>
      <c r="E88" s="571"/>
    </row>
    <row r="89" spans="1:5" x14ac:dyDescent="0.2">
      <c r="A89" s="570"/>
      <c r="B89" s="540"/>
      <c r="C89" s="540"/>
      <c r="D89" s="540"/>
      <c r="E89" s="571"/>
    </row>
    <row r="90" spans="1:5" x14ac:dyDescent="0.2">
      <c r="A90" s="570"/>
      <c r="B90" s="540"/>
      <c r="C90" s="540"/>
      <c r="D90" s="540"/>
      <c r="E90" s="571"/>
    </row>
    <row r="91" spans="1:5" x14ac:dyDescent="0.2">
      <c r="A91" s="570"/>
      <c r="B91" s="540"/>
      <c r="C91" s="540"/>
      <c r="D91" s="540"/>
      <c r="E91" s="571"/>
    </row>
    <row r="92" spans="1:5" x14ac:dyDescent="0.2">
      <c r="A92" s="570"/>
      <c r="B92" s="540"/>
      <c r="C92" s="540"/>
      <c r="D92" s="540"/>
      <c r="E92" s="571"/>
    </row>
    <row r="93" spans="1:5" x14ac:dyDescent="0.2">
      <c r="A93" s="570"/>
      <c r="B93" s="540"/>
      <c r="C93" s="540"/>
      <c r="D93" s="540"/>
      <c r="E93" s="571"/>
    </row>
    <row r="94" spans="1:5" x14ac:dyDescent="0.2">
      <c r="A94" s="570"/>
      <c r="B94" s="540"/>
      <c r="C94" s="540"/>
      <c r="D94" s="540"/>
      <c r="E94" s="571"/>
    </row>
    <row r="95" spans="1:5" x14ac:dyDescent="0.2">
      <c r="A95" s="570"/>
      <c r="B95" s="540"/>
      <c r="C95" s="540"/>
      <c r="D95" s="540"/>
      <c r="E95" s="571"/>
    </row>
    <row r="96" spans="1:5" x14ac:dyDescent="0.2">
      <c r="A96" s="570"/>
      <c r="B96" s="540"/>
      <c r="C96" s="540"/>
      <c r="D96" s="540"/>
      <c r="E96" s="571"/>
    </row>
    <row r="97" spans="1:5" x14ac:dyDescent="0.2">
      <c r="A97" s="570"/>
      <c r="B97" s="540"/>
      <c r="C97" s="540"/>
      <c r="D97" s="540"/>
      <c r="E97" s="571"/>
    </row>
    <row r="98" spans="1:5" x14ac:dyDescent="0.2">
      <c r="A98" s="570"/>
      <c r="B98" s="540"/>
      <c r="C98" s="540"/>
      <c r="D98" s="540"/>
      <c r="E98" s="571"/>
    </row>
    <row r="99" spans="1:5" x14ac:dyDescent="0.2">
      <c r="A99" s="570"/>
      <c r="B99" s="540"/>
      <c r="C99" s="540"/>
      <c r="D99" s="540"/>
      <c r="E99" s="571"/>
    </row>
    <row r="100" spans="1:5" x14ac:dyDescent="0.2">
      <c r="A100" s="570"/>
      <c r="B100" s="540"/>
      <c r="C100" s="540"/>
      <c r="D100" s="540"/>
      <c r="E100" s="571"/>
    </row>
    <row r="101" spans="1:5" x14ac:dyDescent="0.2">
      <c r="A101" s="570"/>
      <c r="B101" s="540"/>
      <c r="C101" s="540"/>
      <c r="D101" s="540"/>
      <c r="E101" s="571"/>
    </row>
    <row r="102" spans="1:5" x14ac:dyDescent="0.2">
      <c r="A102" s="570"/>
      <c r="B102" s="540"/>
      <c r="C102" s="540"/>
      <c r="D102" s="540"/>
      <c r="E102" s="571"/>
    </row>
    <row r="103" spans="1:5" x14ac:dyDescent="0.2">
      <c r="A103" s="570"/>
      <c r="B103" s="540"/>
      <c r="C103" s="540"/>
      <c r="D103" s="540"/>
      <c r="E103" s="571"/>
    </row>
    <row r="104" spans="1:5" x14ac:dyDescent="0.2">
      <c r="A104" s="570"/>
      <c r="B104" s="540"/>
      <c r="C104" s="540"/>
      <c r="D104" s="540"/>
      <c r="E104" s="571"/>
    </row>
    <row r="105" spans="1:5" x14ac:dyDescent="0.2">
      <c r="A105" s="570"/>
      <c r="B105" s="540"/>
      <c r="C105" s="540"/>
      <c r="D105" s="540"/>
      <c r="E105" s="571"/>
    </row>
    <row r="106" spans="1:5" x14ac:dyDescent="0.2">
      <c r="A106" s="570"/>
      <c r="B106" s="540"/>
      <c r="C106" s="540"/>
      <c r="D106" s="540"/>
      <c r="E106" s="571"/>
    </row>
    <row r="107" spans="1:5" x14ac:dyDescent="0.2">
      <c r="A107" s="570"/>
      <c r="B107" s="540"/>
      <c r="C107" s="540"/>
      <c r="D107" s="540"/>
      <c r="E107" s="571"/>
    </row>
    <row r="108" spans="1:5" x14ac:dyDescent="0.2">
      <c r="A108" s="570"/>
      <c r="B108" s="540"/>
      <c r="C108" s="540"/>
      <c r="D108" s="540"/>
      <c r="E108" s="571"/>
    </row>
    <row r="109" spans="1:5" x14ac:dyDescent="0.2">
      <c r="A109" s="570"/>
      <c r="B109" s="540"/>
      <c r="C109" s="540"/>
      <c r="D109" s="540"/>
      <c r="E109" s="571"/>
    </row>
    <row r="110" spans="1:5" x14ac:dyDescent="0.2">
      <c r="A110" s="570"/>
      <c r="B110" s="540"/>
      <c r="C110" s="540"/>
      <c r="D110" s="540"/>
      <c r="E110" s="571"/>
    </row>
    <row r="111" spans="1:5" x14ac:dyDescent="0.2">
      <c r="A111" s="570"/>
      <c r="B111" s="540"/>
      <c r="C111" s="540"/>
      <c r="D111" s="540"/>
      <c r="E111" s="571"/>
    </row>
    <row r="112" spans="1:5" x14ac:dyDescent="0.2">
      <c r="A112" s="570"/>
      <c r="B112" s="540"/>
      <c r="C112" s="540"/>
      <c r="D112" s="540"/>
      <c r="E112" s="571"/>
    </row>
    <row r="113" spans="1:5" x14ac:dyDescent="0.2">
      <c r="A113" s="570"/>
      <c r="B113" s="540"/>
      <c r="C113" s="540"/>
      <c r="D113" s="540"/>
      <c r="E113" s="571"/>
    </row>
    <row r="114" spans="1:5" x14ac:dyDescent="0.2">
      <c r="A114" s="570"/>
      <c r="B114" s="540"/>
      <c r="C114" s="540"/>
      <c r="D114" s="540"/>
      <c r="E114" s="571"/>
    </row>
    <row r="115" spans="1:5" x14ac:dyDescent="0.2">
      <c r="A115" s="570"/>
      <c r="B115" s="540"/>
      <c r="C115" s="540"/>
      <c r="D115" s="540"/>
      <c r="E115" s="571"/>
    </row>
    <row r="116" spans="1:5" x14ac:dyDescent="0.2">
      <c r="A116" s="570"/>
      <c r="B116" s="540"/>
      <c r="C116" s="540"/>
      <c r="D116" s="540"/>
      <c r="E116" s="571"/>
    </row>
    <row r="117" spans="1:5" x14ac:dyDescent="0.2">
      <c r="A117" s="570"/>
      <c r="B117" s="540"/>
      <c r="C117" s="540"/>
      <c r="D117" s="540"/>
      <c r="E117" s="571"/>
    </row>
    <row r="118" spans="1:5" x14ac:dyDescent="0.2">
      <c r="A118" s="570"/>
      <c r="B118" s="540"/>
      <c r="C118" s="540"/>
      <c r="D118" s="540"/>
      <c r="E118" s="571"/>
    </row>
    <row r="119" spans="1:5" x14ac:dyDescent="0.2">
      <c r="A119" s="570"/>
      <c r="B119" s="540"/>
      <c r="C119" s="540"/>
      <c r="D119" s="540"/>
      <c r="E119" s="571"/>
    </row>
    <row r="120" spans="1:5" x14ac:dyDescent="0.2">
      <c r="A120" s="570"/>
      <c r="B120" s="540"/>
      <c r="C120" s="540"/>
      <c r="D120" s="540"/>
      <c r="E120" s="571"/>
    </row>
    <row r="121" spans="1:5" x14ac:dyDescent="0.2">
      <c r="A121" s="570"/>
      <c r="B121" s="540"/>
      <c r="C121" s="540"/>
      <c r="D121" s="540"/>
      <c r="E121" s="571"/>
    </row>
    <row r="122" spans="1:5" x14ac:dyDescent="0.2">
      <c r="A122" s="570"/>
      <c r="B122" s="540"/>
      <c r="C122" s="540"/>
      <c r="D122" s="540"/>
      <c r="E122" s="571"/>
    </row>
    <row r="123" spans="1:5" x14ac:dyDescent="0.2">
      <c r="A123" s="570"/>
      <c r="B123" s="540"/>
      <c r="C123" s="540"/>
      <c r="D123" s="540"/>
      <c r="E123" s="571"/>
    </row>
    <row r="124" spans="1:5" x14ac:dyDescent="0.2">
      <c r="A124" s="570"/>
      <c r="B124" s="540"/>
      <c r="C124" s="540"/>
      <c r="D124" s="540"/>
      <c r="E124" s="571"/>
    </row>
    <row r="125" spans="1:5" x14ac:dyDescent="0.2">
      <c r="A125" s="570"/>
      <c r="B125" s="540"/>
      <c r="C125" s="540"/>
      <c r="D125" s="540"/>
      <c r="E125" s="571"/>
    </row>
    <row r="126" spans="1:5" x14ac:dyDescent="0.2">
      <c r="A126" s="570"/>
      <c r="B126" s="540"/>
      <c r="C126" s="540"/>
      <c r="D126" s="540"/>
      <c r="E126" s="571"/>
    </row>
    <row r="127" spans="1:5" x14ac:dyDescent="0.2">
      <c r="A127" s="570"/>
      <c r="B127" s="540"/>
      <c r="C127" s="540"/>
      <c r="D127" s="540"/>
      <c r="E127" s="571"/>
    </row>
    <row r="128" spans="1:5" x14ac:dyDescent="0.2">
      <c r="A128" s="570"/>
      <c r="B128" s="540"/>
      <c r="C128" s="540"/>
      <c r="D128" s="540"/>
      <c r="E128" s="571"/>
    </row>
    <row r="129" spans="1:5" x14ac:dyDescent="0.2">
      <c r="A129" s="572"/>
      <c r="B129" s="573"/>
      <c r="C129" s="573"/>
      <c r="D129" s="573"/>
      <c r="E129" s="574"/>
    </row>
    <row r="130" spans="1:5" x14ac:dyDescent="0.2">
      <c r="A130" s="340"/>
      <c r="B130" s="340"/>
      <c r="C130" s="340"/>
      <c r="D130" s="340"/>
      <c r="E130" s="340"/>
    </row>
  </sheetData>
  <mergeCells count="4">
    <mergeCell ref="B35:B37"/>
    <mergeCell ref="A35:A37"/>
    <mergeCell ref="A38:A40"/>
    <mergeCell ref="B38:B40"/>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1:B57">
    <cfRule type="containsText" dxfId="45" priority="4" operator="containsText" text="Issue">
      <formula>NOT(ISERROR(SEARCH("Issue",B13)))</formula>
    </cfRule>
  </conditionalFormatting>
  <conditionalFormatting sqref="B13:B35 B41:B52">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pageSetUpPr fitToPage="1"/>
  </sheetPr>
  <dimension ref="A2:CN306"/>
  <sheetViews>
    <sheetView topLeftCell="P1" zoomScale="70" zoomScaleNormal="70" zoomScalePageLayoutView="85" workbookViewId="0">
      <selection activeCell="D37" sqref="D37"/>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7.33203125" style="52" customWidth="1"/>
    <col min="7" max="9" width="22.33203125" style="88" customWidth="1"/>
    <col min="10" max="11" width="22.33203125" style="83"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Queenscliffe (B)</v>
      </c>
      <c r="L3" s="64"/>
    </row>
    <row r="4" spans="1:92" ht="12" customHeight="1" x14ac:dyDescent="0.2">
      <c r="B4" s="43"/>
      <c r="L4" s="64"/>
    </row>
    <row r="5" spans="1:92" ht="15.75" thickBot="1" x14ac:dyDescent="0.25">
      <c r="B5" s="200"/>
      <c r="C5" s="200"/>
      <c r="D5" s="200"/>
      <c r="E5" s="220" t="s">
        <v>343</v>
      </c>
      <c r="Q5" s="220" t="s">
        <v>344</v>
      </c>
    </row>
    <row r="6" spans="1:92" x14ac:dyDescent="0.2">
      <c r="C6" s="9"/>
      <c r="D6" s="10"/>
      <c r="E6" s="80"/>
      <c r="F6" s="53"/>
      <c r="G6" s="89"/>
      <c r="H6" s="89"/>
      <c r="I6" s="89"/>
      <c r="J6" s="92"/>
      <c r="K6" s="92"/>
      <c r="L6" s="11"/>
      <c r="M6" s="47"/>
      <c r="P6" s="9"/>
      <c r="Q6" s="10"/>
      <c r="R6" s="80"/>
      <c r="S6" s="53"/>
      <c r="T6" s="89"/>
      <c r="U6" s="89"/>
      <c r="V6" s="89"/>
      <c r="W6" s="92"/>
      <c r="X6" s="92"/>
      <c r="Y6" s="92"/>
      <c r="Z6" s="92"/>
      <c r="AA6" s="92"/>
      <c r="AB6" s="92"/>
      <c r="AC6" s="92"/>
      <c r="AD6" s="92"/>
      <c r="AE6" s="92"/>
      <c r="AF6" s="92"/>
      <c r="AG6" s="92"/>
      <c r="AH6" s="92"/>
      <c r="AI6" s="47"/>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row>
    <row r="7" spans="1:92" x14ac:dyDescent="0.2">
      <c r="C7" s="13"/>
      <c r="D7" s="14"/>
      <c r="E7" s="81"/>
      <c r="F7" s="54"/>
      <c r="G7" s="149"/>
      <c r="H7" s="149"/>
      <c r="I7" s="149"/>
      <c r="J7" s="95"/>
      <c r="K7" s="95"/>
      <c r="L7" s="15"/>
      <c r="M7" s="31"/>
      <c r="P7" s="13"/>
      <c r="Q7" s="14"/>
      <c r="AI7" s="3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L7" s="441"/>
      <c r="CM7" s="441"/>
      <c r="CN7" s="441"/>
    </row>
    <row r="8" spans="1:92" ht="12.75" customHeight="1" x14ac:dyDescent="0.2">
      <c r="C8" s="13"/>
      <c r="D8" s="14"/>
      <c r="E8" s="81"/>
      <c r="F8" s="54"/>
      <c r="G8" s="855" t="s">
        <v>152</v>
      </c>
      <c r="H8" s="855"/>
      <c r="I8" s="855" t="s">
        <v>155</v>
      </c>
      <c r="J8" s="855"/>
      <c r="K8" s="855" t="s">
        <v>93</v>
      </c>
      <c r="L8" s="855"/>
      <c r="M8" s="31"/>
      <c r="P8" s="13"/>
      <c r="Q8" s="81"/>
      <c r="R8" s="194"/>
      <c r="S8" s="194"/>
      <c r="T8" s="174" t="s">
        <v>156</v>
      </c>
      <c r="U8" s="194"/>
      <c r="V8" s="194"/>
      <c r="W8" s="185"/>
      <c r="X8" s="185"/>
      <c r="Y8" s="185" t="s">
        <v>157</v>
      </c>
      <c r="Z8" s="185"/>
      <c r="AA8" s="185"/>
      <c r="AB8" s="185"/>
      <c r="AC8" s="81"/>
      <c r="AD8" s="194"/>
      <c r="AE8" s="194"/>
      <c r="AF8" s="194"/>
      <c r="AG8" s="194"/>
      <c r="AH8" s="185"/>
      <c r="AI8" s="31"/>
      <c r="AM8" s="441"/>
      <c r="AN8" s="441"/>
      <c r="AO8" s="441"/>
      <c r="AP8" s="441"/>
      <c r="AR8" s="441"/>
      <c r="AS8" s="441"/>
      <c r="AT8" s="441"/>
      <c r="AU8" s="441"/>
      <c r="AW8" s="441"/>
      <c r="AX8" s="441"/>
      <c r="AY8" s="441"/>
      <c r="AZ8" s="441"/>
      <c r="BB8" s="441"/>
      <c r="BC8" s="441"/>
      <c r="BD8" s="441"/>
      <c r="BE8" s="441"/>
      <c r="BG8" s="441"/>
      <c r="BH8" s="441"/>
      <c r="BI8" s="441"/>
      <c r="BJ8" s="441"/>
      <c r="BL8" s="441"/>
      <c r="BM8" s="441"/>
      <c r="BN8" s="441"/>
      <c r="BO8" s="441"/>
      <c r="BQ8" s="441"/>
      <c r="BR8" s="441"/>
      <c r="BS8" s="441"/>
      <c r="BT8" s="441"/>
      <c r="BV8" s="441"/>
      <c r="BW8" s="441"/>
      <c r="BX8" s="441"/>
      <c r="BY8" s="441"/>
      <c r="CA8" s="441"/>
      <c r="CB8" s="441"/>
      <c r="CC8" s="441"/>
      <c r="CD8" s="441"/>
      <c r="CF8" s="441"/>
      <c r="CG8" s="441"/>
      <c r="CH8" s="441"/>
      <c r="CI8" s="441"/>
      <c r="CK8" s="441"/>
      <c r="CL8" s="441"/>
      <c r="CM8" s="441"/>
      <c r="CN8" s="441"/>
    </row>
    <row r="9" spans="1:92" ht="25.5" x14ac:dyDescent="0.2">
      <c r="C9" s="13"/>
      <c r="D9" s="14"/>
      <c r="E9" s="63" t="s">
        <v>92</v>
      </c>
      <c r="F9" s="106" t="s">
        <v>113</v>
      </c>
      <c r="G9" s="87" t="s">
        <v>153</v>
      </c>
      <c r="H9" s="172" t="s">
        <v>154</v>
      </c>
      <c r="I9" s="87" t="s">
        <v>153</v>
      </c>
      <c r="J9" s="172" t="s">
        <v>154</v>
      </c>
      <c r="K9" s="172" t="s">
        <v>89</v>
      </c>
      <c r="L9" s="62" t="s">
        <v>155</v>
      </c>
      <c r="M9" s="31"/>
      <c r="P9" s="13"/>
      <c r="Q9" s="81"/>
      <c r="R9" s="196" t="s">
        <v>103</v>
      </c>
      <c r="S9" s="196" t="s">
        <v>104</v>
      </c>
      <c r="T9" s="196" t="s">
        <v>105</v>
      </c>
      <c r="U9" s="196" t="s">
        <v>106</v>
      </c>
      <c r="V9" s="196" t="s">
        <v>87</v>
      </c>
      <c r="W9" s="197" t="s">
        <v>103</v>
      </c>
      <c r="X9" s="197" t="s">
        <v>104</v>
      </c>
      <c r="Y9" s="197" t="s">
        <v>105</v>
      </c>
      <c r="Z9" s="197" t="s">
        <v>106</v>
      </c>
      <c r="AA9" s="197" t="s">
        <v>87</v>
      </c>
      <c r="AB9" s="185"/>
      <c r="AC9" s="81"/>
      <c r="AD9" s="106" t="s">
        <v>103</v>
      </c>
      <c r="AE9" s="106" t="s">
        <v>104</v>
      </c>
      <c r="AF9" s="106" t="s">
        <v>105</v>
      </c>
      <c r="AG9" s="106" t="s">
        <v>106</v>
      </c>
      <c r="AH9" s="106" t="s">
        <v>87</v>
      </c>
      <c r="AI9" s="31"/>
      <c r="AM9" s="441"/>
      <c r="AN9" s="441"/>
      <c r="AO9" s="441"/>
      <c r="AP9" s="441"/>
      <c r="AR9" s="441"/>
      <c r="AS9" s="441"/>
      <c r="AT9" s="441"/>
      <c r="AU9" s="441"/>
      <c r="AW9" s="441"/>
      <c r="AX9" s="441"/>
      <c r="AY9" s="441"/>
      <c r="AZ9" s="441"/>
      <c r="BB9" s="441"/>
      <c r="BC9" s="441"/>
      <c r="BD9" s="441"/>
      <c r="BE9" s="441"/>
      <c r="BG9" s="441"/>
      <c r="BH9" s="441"/>
      <c r="BI9" s="441"/>
      <c r="BJ9" s="441"/>
      <c r="BL9" s="441"/>
      <c r="BM9" s="441"/>
      <c r="BN9" s="441"/>
      <c r="BO9" s="441"/>
      <c r="BQ9" s="441"/>
      <c r="BR9" s="441"/>
      <c r="BS9" s="441"/>
      <c r="BT9" s="441"/>
      <c r="BV9" s="441"/>
      <c r="BW9" s="441"/>
      <c r="BX9" s="441"/>
      <c r="BY9" s="441"/>
      <c r="CA9" s="441"/>
      <c r="CB9" s="441"/>
      <c r="CC9" s="441"/>
      <c r="CD9" s="441"/>
      <c r="CF9" s="441"/>
      <c r="CG9" s="441"/>
      <c r="CH9" s="441"/>
      <c r="CI9" s="441"/>
      <c r="CK9" s="441"/>
      <c r="CL9" s="441"/>
      <c r="CM9" s="441"/>
      <c r="CN9" s="441"/>
    </row>
    <row r="10" spans="1:92" x14ac:dyDescent="0.2">
      <c r="C10" s="13"/>
      <c r="D10" s="14"/>
      <c r="F10" s="55"/>
      <c r="M10" s="31"/>
      <c r="P10" s="84"/>
      <c r="Q10" s="79"/>
      <c r="S10" s="79"/>
      <c r="T10" s="79"/>
      <c r="U10" s="79"/>
      <c r="V10" s="79"/>
      <c r="X10" s="79"/>
      <c r="Y10" s="79"/>
      <c r="Z10" s="79"/>
      <c r="AA10" s="79"/>
      <c r="AB10" s="185"/>
      <c r="AC10" s="79"/>
      <c r="AE10" s="79"/>
      <c r="AF10" s="79"/>
      <c r="AG10" s="79"/>
      <c r="AH10" s="79"/>
      <c r="AI10" s="86"/>
      <c r="AM10" s="441"/>
      <c r="AN10" s="441"/>
      <c r="AO10" s="441"/>
      <c r="AP10" s="441"/>
      <c r="AR10" s="441"/>
      <c r="AS10" s="441"/>
      <c r="AT10" s="441"/>
      <c r="AU10" s="441"/>
      <c r="AW10" s="441"/>
      <c r="AX10" s="441"/>
      <c r="AY10" s="441"/>
      <c r="AZ10" s="441"/>
      <c r="BB10" s="441"/>
      <c r="BC10" s="441"/>
      <c r="BD10" s="441"/>
      <c r="BE10" s="441"/>
      <c r="BG10" s="441"/>
      <c r="BH10" s="441"/>
      <c r="BI10" s="441"/>
      <c r="BJ10" s="441"/>
      <c r="BL10" s="441"/>
      <c r="BM10" s="441"/>
      <c r="BN10" s="441"/>
      <c r="BO10" s="441"/>
      <c r="BQ10" s="441"/>
      <c r="BR10" s="441"/>
      <c r="BS10" s="441"/>
      <c r="BT10" s="441"/>
      <c r="BV10" s="441"/>
      <c r="BW10" s="441"/>
      <c r="BX10" s="441"/>
      <c r="BY10" s="441"/>
      <c r="CA10" s="441"/>
      <c r="CB10" s="441"/>
      <c r="CC10" s="441"/>
      <c r="CD10" s="441"/>
      <c r="CF10" s="441"/>
      <c r="CG10" s="441"/>
      <c r="CH10" s="441"/>
      <c r="CI10" s="441"/>
      <c r="CK10" s="441"/>
      <c r="CL10" s="441"/>
      <c r="CM10" s="441"/>
      <c r="CN10" s="441"/>
    </row>
    <row r="11" spans="1:92" x14ac:dyDescent="0.2">
      <c r="C11" s="13"/>
      <c r="D11" s="19">
        <v>1</v>
      </c>
      <c r="E11" s="176" t="str">
        <f>IF(OR('Services - NHC'!E10="",'Services - NHC'!E10="[Enter service]"),"",'Services - NHC'!E10)</f>
        <v>Aged Services</v>
      </c>
      <c r="F11" s="177" t="str">
        <f>IF(OR('Services - NHC'!F10="",'Services - NHC'!F10="[Select]"),"",'Services - NHC'!F10)</f>
        <v>External</v>
      </c>
      <c r="G11" s="187">
        <f>IF('Revenue - NHC'!V12="","",'Revenue - NHC'!V12)</f>
        <v>502900</v>
      </c>
      <c r="H11" s="187">
        <f>IF('Revenue - WHC'!V12="","",'Revenue - WHC'!V12)</f>
        <v>502900</v>
      </c>
      <c r="I11" s="187">
        <f>IF('Expenditure- NHC'!R11="","",'Expenditure- NHC'!R11)</f>
        <v>662500</v>
      </c>
      <c r="J11" s="188">
        <f>IF('Expenditure - WHC'!R11="","",'Expenditure - WHC'!R11)</f>
        <v>662500</v>
      </c>
      <c r="K11" s="203">
        <f>IFERROR(H11-G11,"")</f>
        <v>0</v>
      </c>
      <c r="L11" s="204">
        <f>IFERROR(J11-I11,"")</f>
        <v>0</v>
      </c>
      <c r="M11" s="205"/>
      <c r="N11" s="206"/>
      <c r="P11" s="13"/>
      <c r="Q11" s="198" t="str">
        <f>'Assets - NHC'!E164</f>
        <v>Property</v>
      </c>
      <c r="R11" s="182">
        <f>SUM(R12:R17)</f>
        <v>391730.84524999995</v>
      </c>
      <c r="S11" s="182">
        <f t="shared" ref="S11:AA11" si="0">SUM(S12:S17)</f>
        <v>378490.37225000001</v>
      </c>
      <c r="T11" s="182">
        <f t="shared" si="0"/>
        <v>0</v>
      </c>
      <c r="U11" s="182">
        <f t="shared" si="0"/>
        <v>553546.8075</v>
      </c>
      <c r="V11" s="182">
        <f t="shared" si="0"/>
        <v>1323768.0249999999</v>
      </c>
      <c r="W11" s="182">
        <f t="shared" si="0"/>
        <v>406730.84524999995</v>
      </c>
      <c r="X11" s="182">
        <f t="shared" si="0"/>
        <v>378490.37225000001</v>
      </c>
      <c r="Y11" s="182">
        <f t="shared" si="0"/>
        <v>0</v>
      </c>
      <c r="Z11" s="182">
        <f t="shared" si="0"/>
        <v>553546.8075</v>
      </c>
      <c r="AA11" s="182">
        <f t="shared" si="0"/>
        <v>1338768.0249999999</v>
      </c>
      <c r="AB11" s="185"/>
      <c r="AC11" s="198" t="str">
        <f>Q11</f>
        <v>Property</v>
      </c>
      <c r="AD11" s="182">
        <f>SUM(AD12:AD17)</f>
        <v>15000</v>
      </c>
      <c r="AE11" s="182">
        <f>SUM(AE12:AE17)</f>
        <v>0</v>
      </c>
      <c r="AF11" s="182">
        <f>SUM(AF12:AF17)</f>
        <v>0</v>
      </c>
      <c r="AG11" s="182">
        <f>SUM(AG12:AG17)</f>
        <v>0</v>
      </c>
      <c r="AH11" s="182">
        <f>SUM(AH12:AH17)</f>
        <v>15000</v>
      </c>
      <c r="AI11" s="31"/>
      <c r="AM11" s="441"/>
      <c r="AN11" s="441"/>
      <c r="AO11" s="441"/>
      <c r="AP11" s="441"/>
      <c r="AR11" s="441"/>
      <c r="AS11" s="441"/>
      <c r="AT11" s="441"/>
      <c r="AU11" s="441"/>
      <c r="AW11" s="441"/>
      <c r="AX11" s="441"/>
      <c r="AY11" s="441"/>
      <c r="AZ11" s="441"/>
      <c r="BB11" s="441"/>
      <c r="BC11" s="441"/>
      <c r="BD11" s="441"/>
      <c r="BE11" s="441"/>
      <c r="BG11" s="441"/>
      <c r="BH11" s="441"/>
      <c r="BI11" s="441"/>
      <c r="BJ11" s="441"/>
      <c r="BL11" s="441"/>
      <c r="BM11" s="441"/>
      <c r="BN11" s="441"/>
      <c r="BO11" s="441"/>
      <c r="BQ11" s="441"/>
      <c r="BR11" s="441"/>
      <c r="BS11" s="441"/>
      <c r="BT11" s="441"/>
      <c r="BV11" s="441"/>
      <c r="BW11" s="441"/>
      <c r="BX11" s="441"/>
      <c r="BY11" s="441"/>
      <c r="CA11" s="441"/>
      <c r="CB11" s="441"/>
      <c r="CC11" s="441"/>
      <c r="CD11" s="441"/>
      <c r="CF11" s="441"/>
      <c r="CG11" s="441"/>
      <c r="CH11" s="441"/>
      <c r="CI11" s="441"/>
      <c r="CK11" s="441"/>
      <c r="CL11" s="441"/>
      <c r="CM11" s="441"/>
      <c r="CN11" s="441"/>
    </row>
    <row r="12" spans="1:92" s="83" customFormat="1" x14ac:dyDescent="0.2">
      <c r="C12" s="84"/>
      <c r="D12" s="85">
        <f>D11+1</f>
        <v>2</v>
      </c>
      <c r="E12" s="178" t="str">
        <f>IF(OR('Services - NHC'!E11="",'Services - NHC'!E11="[Enter service]"),"",'Services - NHC'!E11)</f>
        <v>Active Communities</v>
      </c>
      <c r="F12" s="179" t="str">
        <f>IF(OR('Services - NHC'!F11="",'Services - NHC'!F11="[Select]"),"",'Services - NHC'!F11)</f>
        <v>External</v>
      </c>
      <c r="G12" s="189">
        <f>IF('Revenue - NHC'!V13="","",'Revenue - NHC'!V13)</f>
        <v>2600</v>
      </c>
      <c r="H12" s="189">
        <f>IF('Revenue - WHC'!V13="","",'Revenue - WHC'!V13)</f>
        <v>2600</v>
      </c>
      <c r="I12" s="189">
        <f>IF('Expenditure- NHC'!R12="","",'Expenditure- NHC'!R12)</f>
        <v>202700</v>
      </c>
      <c r="J12" s="190">
        <f>IF('Expenditure - WHC'!R12="","",'Expenditure - WHC'!R12)</f>
        <v>202700</v>
      </c>
      <c r="K12" s="207">
        <f t="shared" ref="K12:K30" si="1">IFERROR(H12-G12,"")</f>
        <v>0</v>
      </c>
      <c r="L12" s="208">
        <f t="shared" ref="L12:L30" si="2">IFERROR(J12-I12,"")</f>
        <v>0</v>
      </c>
      <c r="M12" s="209"/>
      <c r="N12" s="210"/>
      <c r="P12" s="13"/>
      <c r="Q12" s="184" t="str">
        <f>'Assets - NHC'!E165</f>
        <v>Land</v>
      </c>
      <c r="R12" s="143">
        <f>'Assets - NHC'!N165</f>
        <v>0</v>
      </c>
      <c r="S12" s="143">
        <f>'Assets - NHC'!O165</f>
        <v>0</v>
      </c>
      <c r="T12" s="143">
        <f>'Assets - NHC'!P165</f>
        <v>0</v>
      </c>
      <c r="U12" s="143">
        <f>'Assets - NHC'!Q165</f>
        <v>0</v>
      </c>
      <c r="V12" s="143">
        <f>'Assets - NHC'!R165</f>
        <v>0</v>
      </c>
      <c r="W12" s="143">
        <f>'Assets - WHC'!N180</f>
        <v>0</v>
      </c>
      <c r="X12" s="143">
        <f>'Assets - WHC'!O180</f>
        <v>0</v>
      </c>
      <c r="Y12" s="143">
        <f>'Assets - WHC'!P180</f>
        <v>0</v>
      </c>
      <c r="Z12" s="143">
        <f>'Assets - WHC'!Q180</f>
        <v>0</v>
      </c>
      <c r="AA12" s="143">
        <f>'Assets - WHC'!R180</f>
        <v>0</v>
      </c>
      <c r="AB12" s="185"/>
      <c r="AC12" s="184" t="str">
        <f t="shared" ref="AC12:AC34" si="3">Q12</f>
        <v>Land</v>
      </c>
      <c r="AD12" s="143">
        <f t="shared" ref="AD12:AD17" si="4">W12-R12</f>
        <v>0</v>
      </c>
      <c r="AE12" s="143">
        <f t="shared" ref="AE12:AE17" si="5">X12-S12</f>
        <v>0</v>
      </c>
      <c r="AF12" s="143">
        <f t="shared" ref="AF12:AF17" si="6">Y12-T12</f>
        <v>0</v>
      </c>
      <c r="AG12" s="143">
        <f t="shared" ref="AG12:AG17" si="7">Z12-U12</f>
        <v>0</v>
      </c>
      <c r="AH12" s="143">
        <f t="shared" ref="AH12:AH17" si="8">AA12-V12</f>
        <v>0</v>
      </c>
      <c r="AI12" s="31"/>
      <c r="AK12" s="6"/>
      <c r="AM12" s="442"/>
      <c r="AN12" s="442"/>
      <c r="AO12" s="442"/>
      <c r="AP12" s="442"/>
      <c r="AR12" s="442"/>
      <c r="AS12" s="442"/>
      <c r="AT12" s="442"/>
      <c r="AU12" s="442"/>
      <c r="AW12" s="442"/>
      <c r="AX12" s="442"/>
      <c r="AY12" s="442"/>
      <c r="AZ12" s="442"/>
      <c r="BB12" s="442"/>
      <c r="BC12" s="442"/>
      <c r="BD12" s="442"/>
      <c r="BE12" s="442"/>
      <c r="BG12" s="442"/>
      <c r="BH12" s="442"/>
      <c r="BI12" s="442"/>
      <c r="BJ12" s="442"/>
      <c r="BL12" s="442"/>
      <c r="BM12" s="442"/>
      <c r="BN12" s="442"/>
      <c r="BO12" s="442"/>
      <c r="BQ12" s="442"/>
      <c r="BR12" s="442"/>
      <c r="BS12" s="442"/>
      <c r="BT12" s="442"/>
      <c r="BV12" s="442"/>
      <c r="BW12" s="442"/>
      <c r="BX12" s="442"/>
      <c r="BY12" s="442"/>
      <c r="CA12" s="442"/>
      <c r="CB12" s="442"/>
      <c r="CC12" s="442"/>
      <c r="CD12" s="442"/>
      <c r="CF12" s="442"/>
      <c r="CG12" s="442"/>
      <c r="CH12" s="442"/>
      <c r="CI12" s="442"/>
      <c r="CK12" s="442"/>
      <c r="CL12" s="442"/>
      <c r="CM12" s="442"/>
      <c r="CN12" s="442"/>
    </row>
    <row r="13" spans="1:92" x14ac:dyDescent="0.2">
      <c r="C13" s="13"/>
      <c r="D13" s="19">
        <f>D12+1</f>
        <v>3</v>
      </c>
      <c r="E13" s="178" t="str">
        <f>IF(OR('Services - NHC'!E12="",'Services - NHC'!E12="[Enter service]"),"",'Services - NHC'!E12)</f>
        <v>Community Events</v>
      </c>
      <c r="F13" s="179" t="str">
        <f>IF(OR('Services - NHC'!F12="",'Services - NHC'!F12="[Select]"),"",'Services - NHC'!F12)</f>
        <v>External</v>
      </c>
      <c r="G13" s="189">
        <f>IF('Revenue - NHC'!V14="","",'Revenue - NHC'!V14)</f>
        <v>0</v>
      </c>
      <c r="H13" s="189">
        <f>IF('Revenue - WHC'!V14="","",'Revenue - WHC'!V14)</f>
        <v>0</v>
      </c>
      <c r="I13" s="189">
        <f>IF('Expenditure- NHC'!R13="","",'Expenditure- NHC'!R13)</f>
        <v>104600</v>
      </c>
      <c r="J13" s="190">
        <f>IF('Expenditure - WHC'!R13="","",'Expenditure - WHC'!R13)</f>
        <v>104600</v>
      </c>
      <c r="K13" s="207">
        <f t="shared" si="1"/>
        <v>0</v>
      </c>
      <c r="L13" s="211">
        <f t="shared" si="2"/>
        <v>0</v>
      </c>
      <c r="M13" s="205"/>
      <c r="N13" s="206"/>
      <c r="P13" s="13"/>
      <c r="Q13" s="184" t="str">
        <f>'Assets - NHC'!E166</f>
        <v>Land improvements</v>
      </c>
      <c r="R13" s="143">
        <f>'Assets - NHC'!N166</f>
        <v>0</v>
      </c>
      <c r="S13" s="143">
        <f>'Assets - NHC'!O166</f>
        <v>0</v>
      </c>
      <c r="T13" s="143">
        <f>'Assets - NHC'!P166</f>
        <v>0</v>
      </c>
      <c r="U13" s="143">
        <f>'Assets - NHC'!Q166</f>
        <v>75505</v>
      </c>
      <c r="V13" s="143">
        <f>'Assets - NHC'!R166</f>
        <v>75505</v>
      </c>
      <c r="W13" s="143">
        <f>'Assets - WHC'!N181</f>
        <v>0</v>
      </c>
      <c r="X13" s="143">
        <f>'Assets - WHC'!O181</f>
        <v>0</v>
      </c>
      <c r="Y13" s="143">
        <f>'Assets - WHC'!P181</f>
        <v>0</v>
      </c>
      <c r="Z13" s="143">
        <f>'Assets - WHC'!Q181</f>
        <v>75505</v>
      </c>
      <c r="AA13" s="143">
        <f>'Assets - WHC'!R181</f>
        <v>75505</v>
      </c>
      <c r="AB13" s="185"/>
      <c r="AC13" s="184" t="str">
        <f t="shared" si="3"/>
        <v>Land improvements</v>
      </c>
      <c r="AD13" s="143">
        <f t="shared" si="4"/>
        <v>0</v>
      </c>
      <c r="AE13" s="143">
        <f t="shared" si="5"/>
        <v>0</v>
      </c>
      <c r="AF13" s="143">
        <f t="shared" si="6"/>
        <v>0</v>
      </c>
      <c r="AG13" s="143">
        <f t="shared" si="7"/>
        <v>0</v>
      </c>
      <c r="AH13" s="143">
        <f t="shared" si="8"/>
        <v>0</v>
      </c>
      <c r="AI13" s="31"/>
      <c r="AM13" s="441"/>
      <c r="AN13" s="441"/>
      <c r="AO13" s="441"/>
      <c r="AP13" s="441"/>
      <c r="AR13" s="441"/>
      <c r="AS13" s="441"/>
      <c r="AT13" s="441"/>
      <c r="AU13" s="441"/>
      <c r="AW13" s="441"/>
      <c r="AX13" s="441"/>
      <c r="AY13" s="441"/>
      <c r="AZ13" s="441"/>
      <c r="BB13" s="441"/>
      <c r="BC13" s="441"/>
      <c r="BD13" s="441"/>
      <c r="BE13" s="441"/>
      <c r="BG13" s="441"/>
      <c r="BH13" s="441"/>
      <c r="BI13" s="441"/>
      <c r="BJ13" s="441"/>
      <c r="BL13" s="441"/>
      <c r="BM13" s="441"/>
      <c r="BN13" s="441"/>
      <c r="BO13" s="441"/>
      <c r="BQ13" s="441"/>
      <c r="BR13" s="441"/>
      <c r="BS13" s="441"/>
      <c r="BT13" s="441"/>
      <c r="BV13" s="441"/>
      <c r="BW13" s="441"/>
      <c r="BX13" s="441"/>
      <c r="BY13" s="441"/>
      <c r="CA13" s="441"/>
      <c r="CB13" s="441"/>
      <c r="CC13" s="441"/>
      <c r="CD13" s="441"/>
      <c r="CF13" s="441"/>
      <c r="CG13" s="441"/>
      <c r="CH13" s="441"/>
      <c r="CI13" s="441"/>
      <c r="CK13" s="441"/>
      <c r="CL13" s="441"/>
      <c r="CM13" s="441"/>
      <c r="CN13" s="441"/>
    </row>
    <row r="14" spans="1:92" x14ac:dyDescent="0.2">
      <c r="C14" s="13"/>
      <c r="D14" s="19">
        <f>D13+1</f>
        <v>4</v>
      </c>
      <c r="E14" s="178" t="str">
        <f>IF(OR('Services - NHC'!E13="",'Services - NHC'!E13="[Enter service]"),"",'Services - NHC'!E13)</f>
        <v>Maternal and Child Health (MCH)</v>
      </c>
      <c r="F14" s="179" t="str">
        <f>IF(OR('Services - NHC'!F13="",'Services - NHC'!F13="[Select]"),"",'Services - NHC'!F13)</f>
        <v>External</v>
      </c>
      <c r="G14" s="191">
        <f>IF('Revenue - NHC'!V15="","",'Revenue - NHC'!V15)</f>
        <v>41200</v>
      </c>
      <c r="H14" s="191">
        <f>IF('Revenue - WHC'!V15="","",'Revenue - WHC'!V15)</f>
        <v>41200</v>
      </c>
      <c r="I14" s="191">
        <f>IF('Expenditure- NHC'!R14="","",'Expenditure- NHC'!R14)</f>
        <v>62000</v>
      </c>
      <c r="J14" s="190">
        <f>IF('Expenditure - WHC'!R14="","",'Expenditure - WHC'!R14)</f>
        <v>62000</v>
      </c>
      <c r="K14" s="207">
        <f t="shared" si="1"/>
        <v>0</v>
      </c>
      <c r="L14" s="211">
        <f t="shared" si="2"/>
        <v>0</v>
      </c>
      <c r="M14" s="205"/>
      <c r="N14" s="206"/>
      <c r="P14" s="13"/>
      <c r="Q14" s="184" t="str">
        <f>'Assets - NHC'!E167</f>
        <v>Buildings</v>
      </c>
      <c r="R14" s="143">
        <f>'Assets - NHC'!N167</f>
        <v>391730.84524999995</v>
      </c>
      <c r="S14" s="143">
        <f>'Assets - NHC'!O167</f>
        <v>378490.37225000001</v>
      </c>
      <c r="T14" s="143">
        <f>'Assets - NHC'!P167</f>
        <v>0</v>
      </c>
      <c r="U14" s="143">
        <f>'Assets - NHC'!Q167</f>
        <v>478041.8075</v>
      </c>
      <c r="V14" s="143">
        <f>'Assets - NHC'!R167</f>
        <v>1248263.0249999999</v>
      </c>
      <c r="W14" s="143">
        <f>'Assets - WHC'!N182</f>
        <v>406730.84524999995</v>
      </c>
      <c r="X14" s="143">
        <f>'Assets - WHC'!O182</f>
        <v>378490.37225000001</v>
      </c>
      <c r="Y14" s="143">
        <f>'Assets - WHC'!P182</f>
        <v>0</v>
      </c>
      <c r="Z14" s="143">
        <f>'Assets - WHC'!Q182</f>
        <v>478041.8075</v>
      </c>
      <c r="AA14" s="143">
        <f>'Assets - WHC'!R182</f>
        <v>1263263.0249999999</v>
      </c>
      <c r="AB14" s="185"/>
      <c r="AC14" s="184" t="str">
        <f t="shared" si="3"/>
        <v>Buildings</v>
      </c>
      <c r="AD14" s="143">
        <f t="shared" si="4"/>
        <v>15000</v>
      </c>
      <c r="AE14" s="143">
        <f t="shared" si="5"/>
        <v>0</v>
      </c>
      <c r="AF14" s="143">
        <f t="shared" si="6"/>
        <v>0</v>
      </c>
      <c r="AG14" s="143">
        <f t="shared" si="7"/>
        <v>0</v>
      </c>
      <c r="AH14" s="143">
        <f t="shared" si="8"/>
        <v>15000</v>
      </c>
      <c r="AI14" s="31"/>
    </row>
    <row r="15" spans="1:92" x14ac:dyDescent="0.2">
      <c r="C15" s="13"/>
      <c r="D15" s="19">
        <f>D14+1</f>
        <v>5</v>
      </c>
      <c r="E15" s="178" t="str">
        <f>IF(OR('Services - NHC'!E14="",'Services - NHC'!E14="[Enter service]"),"",'Services - NHC'!E14)</f>
        <v>Kindergarten</v>
      </c>
      <c r="F15" s="179" t="str">
        <f>IF(OR('Services - NHC'!F14="",'Services - NHC'!F14="[Select]"),"",'Services - NHC'!F14)</f>
        <v>External</v>
      </c>
      <c r="G15" s="191">
        <f>IF('Revenue - NHC'!V16="","",'Revenue - NHC'!V16)</f>
        <v>0</v>
      </c>
      <c r="H15" s="191">
        <f>IF('Revenue - WHC'!V16="","",'Revenue - WHC'!V16)</f>
        <v>0</v>
      </c>
      <c r="I15" s="191">
        <f>IF('Expenditure- NHC'!R15="","",'Expenditure- NHC'!R15)</f>
        <v>0</v>
      </c>
      <c r="J15" s="190">
        <f>IF('Expenditure - WHC'!R15="","",'Expenditure - WHC'!R15)</f>
        <v>0</v>
      </c>
      <c r="K15" s="207">
        <f t="shared" si="1"/>
        <v>0</v>
      </c>
      <c r="L15" s="211">
        <f t="shared" si="2"/>
        <v>0</v>
      </c>
      <c r="M15" s="205"/>
      <c r="N15" s="206"/>
      <c r="P15" s="13"/>
      <c r="Q15" s="184" t="str">
        <f>'Assets - NHC'!E168</f>
        <v>Heritage buildings</v>
      </c>
      <c r="R15" s="143">
        <f>'Assets - NHC'!N168</f>
        <v>0</v>
      </c>
      <c r="S15" s="143">
        <f>'Assets - NHC'!O168</f>
        <v>0</v>
      </c>
      <c r="T15" s="143">
        <f>'Assets - NHC'!P168</f>
        <v>0</v>
      </c>
      <c r="U15" s="143">
        <f>'Assets - NHC'!Q168</f>
        <v>0</v>
      </c>
      <c r="V15" s="143">
        <f>'Assets - NHC'!R168</f>
        <v>0</v>
      </c>
      <c r="W15" s="143">
        <f>'Assets - WHC'!N183</f>
        <v>0</v>
      </c>
      <c r="X15" s="143">
        <f>'Assets - WHC'!O183</f>
        <v>0</v>
      </c>
      <c r="Y15" s="143">
        <f>'Assets - WHC'!P183</f>
        <v>0</v>
      </c>
      <c r="Z15" s="143">
        <f>'Assets - WHC'!Q183</f>
        <v>0</v>
      </c>
      <c r="AA15" s="143">
        <f>'Assets - WHC'!R183</f>
        <v>0</v>
      </c>
      <c r="AB15" s="185"/>
      <c r="AC15" s="184" t="str">
        <f t="shared" si="3"/>
        <v>Heritage buildings</v>
      </c>
      <c r="AD15" s="143">
        <f t="shared" si="4"/>
        <v>0</v>
      </c>
      <c r="AE15" s="143">
        <f t="shared" si="5"/>
        <v>0</v>
      </c>
      <c r="AF15" s="143">
        <f t="shared" si="6"/>
        <v>0</v>
      </c>
      <c r="AG15" s="143">
        <f t="shared" si="7"/>
        <v>0</v>
      </c>
      <c r="AH15" s="143">
        <f t="shared" si="8"/>
        <v>0</v>
      </c>
      <c r="AI15" s="31"/>
    </row>
    <row r="16" spans="1:92" x14ac:dyDescent="0.2">
      <c r="C16" s="13"/>
      <c r="D16" s="85">
        <f t="shared" ref="D16:D79" si="9">D15+1</f>
        <v>6</v>
      </c>
      <c r="E16" s="178" t="str">
        <f>IF(OR('Services - NHC'!E15="",'Services - NHC'!E15="[Enter service]"),"",'Services - NHC'!E15)</f>
        <v>Environmental Health</v>
      </c>
      <c r="F16" s="179" t="str">
        <f>IF(OR('Services - NHC'!F15="",'Services - NHC'!F15="[Select]"),"",'Services - NHC'!F15)</f>
        <v>External</v>
      </c>
      <c r="G16" s="191">
        <f>IF('Revenue - NHC'!V17="","",'Revenue - NHC'!V17)</f>
        <v>36000</v>
      </c>
      <c r="H16" s="191">
        <f>IF('Revenue - WHC'!V17="","",'Revenue - WHC'!V17)</f>
        <v>36000</v>
      </c>
      <c r="I16" s="191">
        <f>IF('Expenditure- NHC'!R16="","",'Expenditure- NHC'!R16)</f>
        <v>89710.219507982998</v>
      </c>
      <c r="J16" s="190">
        <f>IF('Expenditure - WHC'!R16="","",'Expenditure - WHC'!R16)</f>
        <v>89710.219507982998</v>
      </c>
      <c r="K16" s="207">
        <f t="shared" si="1"/>
        <v>0</v>
      </c>
      <c r="L16" s="211">
        <f t="shared" si="2"/>
        <v>0</v>
      </c>
      <c r="M16" s="205"/>
      <c r="N16" s="206"/>
      <c r="P16" s="13"/>
      <c r="Q16" s="184" t="str">
        <f>'Assets - NHC'!E169</f>
        <v>Building improvements</v>
      </c>
      <c r="R16" s="143">
        <f>'Assets - NHC'!N169</f>
        <v>0</v>
      </c>
      <c r="S16" s="143">
        <f>'Assets - NHC'!O169</f>
        <v>0</v>
      </c>
      <c r="T16" s="143">
        <f>'Assets - NHC'!P169</f>
        <v>0</v>
      </c>
      <c r="U16" s="143">
        <f>'Assets - NHC'!Q169</f>
        <v>0</v>
      </c>
      <c r="V16" s="143">
        <f>'Assets - NHC'!R169</f>
        <v>0</v>
      </c>
      <c r="W16" s="143">
        <f>'Assets - WHC'!N184</f>
        <v>0</v>
      </c>
      <c r="X16" s="143">
        <f>'Assets - WHC'!O184</f>
        <v>0</v>
      </c>
      <c r="Y16" s="143">
        <f>'Assets - WHC'!P184</f>
        <v>0</v>
      </c>
      <c r="Z16" s="143">
        <f>'Assets - WHC'!Q184</f>
        <v>0</v>
      </c>
      <c r="AA16" s="143">
        <f>'Assets - WHC'!R184</f>
        <v>0</v>
      </c>
      <c r="AB16" s="185"/>
      <c r="AC16" s="184" t="str">
        <f t="shared" si="3"/>
        <v>Building improvements</v>
      </c>
      <c r="AD16" s="143">
        <f t="shared" si="4"/>
        <v>0</v>
      </c>
      <c r="AE16" s="143">
        <f t="shared" si="5"/>
        <v>0</v>
      </c>
      <c r="AF16" s="143">
        <f t="shared" si="6"/>
        <v>0</v>
      </c>
      <c r="AG16" s="143">
        <f t="shared" si="7"/>
        <v>0</v>
      </c>
      <c r="AH16" s="143">
        <f t="shared" si="8"/>
        <v>0</v>
      </c>
      <c r="AI16" s="31"/>
    </row>
    <row r="17" spans="3:92" ht="25.5" x14ac:dyDescent="0.2">
      <c r="C17" s="13"/>
      <c r="D17" s="19">
        <f t="shared" si="9"/>
        <v>7</v>
      </c>
      <c r="E17" s="178" t="str">
        <f>IF(OR('Services - NHC'!E16="",'Services - NHC'!E16="[Enter service]"),"",'Services - NHC'!E16)</f>
        <v>Asset Management and Appearance of Public Places</v>
      </c>
      <c r="F17" s="179" t="str">
        <f>IF(OR('Services - NHC'!F16="",'Services - NHC'!F16="[Select]"),"",'Services - NHC'!F16)</f>
        <v>External</v>
      </c>
      <c r="G17" s="191">
        <f>IF('Revenue - NHC'!V18="","",'Revenue - NHC'!V18)</f>
        <v>59200</v>
      </c>
      <c r="H17" s="191">
        <f>IF('Revenue - WHC'!V18="","",'Revenue - WHC'!V18)</f>
        <v>59200</v>
      </c>
      <c r="I17" s="191">
        <f>IF('Expenditure- NHC'!R17="","",'Expenditure- NHC'!R17)</f>
        <v>1066787.79</v>
      </c>
      <c r="J17" s="190">
        <f>IF('Expenditure - WHC'!R17="","",'Expenditure - WHC'!R17)</f>
        <v>1066787.79</v>
      </c>
      <c r="K17" s="207">
        <f t="shared" si="1"/>
        <v>0</v>
      </c>
      <c r="L17" s="211">
        <f t="shared" si="2"/>
        <v>0</v>
      </c>
      <c r="M17" s="205"/>
      <c r="N17" s="206"/>
      <c r="P17" s="13"/>
      <c r="Q17" s="184" t="str">
        <f>'Assets - NHC'!E170</f>
        <v>Leasthold improvements</v>
      </c>
      <c r="R17" s="143">
        <f>'Assets - NHC'!N170</f>
        <v>0</v>
      </c>
      <c r="S17" s="143">
        <f>'Assets - NHC'!O170</f>
        <v>0</v>
      </c>
      <c r="T17" s="143">
        <f>'Assets - NHC'!P170</f>
        <v>0</v>
      </c>
      <c r="U17" s="143">
        <f>'Assets - NHC'!Q170</f>
        <v>0</v>
      </c>
      <c r="V17" s="143">
        <f>'Assets - NHC'!R170</f>
        <v>0</v>
      </c>
      <c r="W17" s="143">
        <f>'Assets - WHC'!N185</f>
        <v>0</v>
      </c>
      <c r="X17" s="143">
        <f>'Assets - WHC'!O185</f>
        <v>0</v>
      </c>
      <c r="Y17" s="143">
        <f>'Assets - WHC'!P185</f>
        <v>0</v>
      </c>
      <c r="Z17" s="143">
        <f>'Assets - WHC'!Q185</f>
        <v>0</v>
      </c>
      <c r="AA17" s="143">
        <f>'Assets - WHC'!R185</f>
        <v>0</v>
      </c>
      <c r="AB17" s="185"/>
      <c r="AC17" s="184" t="str">
        <f t="shared" si="3"/>
        <v>Leasthold improvements</v>
      </c>
      <c r="AD17" s="143">
        <f t="shared" si="4"/>
        <v>0</v>
      </c>
      <c r="AE17" s="143">
        <f t="shared" si="5"/>
        <v>0</v>
      </c>
      <c r="AF17" s="143">
        <f t="shared" si="6"/>
        <v>0</v>
      </c>
      <c r="AG17" s="143">
        <f t="shared" si="7"/>
        <v>0</v>
      </c>
      <c r="AH17" s="143">
        <f t="shared" si="8"/>
        <v>0</v>
      </c>
      <c r="AI17" s="31"/>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c r="CL17" s="443"/>
      <c r="CM17" s="443"/>
      <c r="CN17" s="443"/>
    </row>
    <row r="18" spans="3:92" ht="12" customHeight="1" x14ac:dyDescent="0.2">
      <c r="C18" s="13"/>
      <c r="D18" s="19">
        <f t="shared" si="9"/>
        <v>8</v>
      </c>
      <c r="E18" s="178" t="str">
        <f>IF(OR('Services - NHC'!E17="",'Services - NHC'!E17="[Enter service]"),"",'Services - NHC'!E17)</f>
        <v>Local Laws, Safety and Amenity</v>
      </c>
      <c r="F18" s="179" t="str">
        <f>IF(OR('Services - NHC'!F17="",'Services - NHC'!F17="[Select]"),"",'Services - NHC'!F17)</f>
        <v>External</v>
      </c>
      <c r="G18" s="191">
        <f>IF('Revenue - NHC'!V19="","",'Revenue - NHC'!V19)</f>
        <v>66800</v>
      </c>
      <c r="H18" s="191">
        <f>IF('Revenue - WHC'!V19="","",'Revenue - WHC'!V19)</f>
        <v>66800</v>
      </c>
      <c r="I18" s="191">
        <f>IF('Expenditure- NHC'!R18="","",'Expenditure- NHC'!R18)</f>
        <v>300900</v>
      </c>
      <c r="J18" s="190">
        <f>IF('Expenditure - WHC'!R18="","",'Expenditure - WHC'!R18)</f>
        <v>304400</v>
      </c>
      <c r="K18" s="207">
        <f t="shared" si="1"/>
        <v>0</v>
      </c>
      <c r="L18" s="211">
        <f t="shared" si="2"/>
        <v>3500</v>
      </c>
      <c r="M18" s="205"/>
      <c r="N18" s="206"/>
      <c r="P18" s="13"/>
      <c r="Q18" s="198" t="str">
        <f>'Assets - NHC'!E171</f>
        <v>Plant and equipment</v>
      </c>
      <c r="R18" s="183">
        <f t="shared" ref="R18:AA18" si="10">SUM(R19:R23)</f>
        <v>0</v>
      </c>
      <c r="S18" s="183">
        <f t="shared" si="10"/>
        <v>200000</v>
      </c>
      <c r="T18" s="183">
        <f t="shared" si="10"/>
        <v>0</v>
      </c>
      <c r="U18" s="183">
        <f t="shared" si="10"/>
        <v>0</v>
      </c>
      <c r="V18" s="183">
        <f t="shared" si="10"/>
        <v>200000</v>
      </c>
      <c r="W18" s="183">
        <f t="shared" si="10"/>
        <v>0</v>
      </c>
      <c r="X18" s="183">
        <f t="shared" si="10"/>
        <v>200000</v>
      </c>
      <c r="Y18" s="183">
        <f t="shared" si="10"/>
        <v>0</v>
      </c>
      <c r="Z18" s="183">
        <f t="shared" si="10"/>
        <v>0</v>
      </c>
      <c r="AA18" s="183">
        <f t="shared" si="10"/>
        <v>200000</v>
      </c>
      <c r="AB18" s="185"/>
      <c r="AC18" s="198" t="str">
        <f t="shared" si="3"/>
        <v>Plant and equipment</v>
      </c>
      <c r="AD18" s="183">
        <f>SUM(AD19:AD23)</f>
        <v>0</v>
      </c>
      <c r="AE18" s="183">
        <f>SUM(AE19:AE23)</f>
        <v>0</v>
      </c>
      <c r="AF18" s="183">
        <f>SUM(AF19:AF23)</f>
        <v>0</v>
      </c>
      <c r="AG18" s="183">
        <f>SUM(AG19:AG23)</f>
        <v>0</v>
      </c>
      <c r="AH18" s="183">
        <f>SUM(AH19:AH23)</f>
        <v>0</v>
      </c>
      <c r="AI18" s="31"/>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BT18" s="443"/>
      <c r="BU18" s="443"/>
      <c r="BV18" s="443"/>
      <c r="BW18" s="443"/>
      <c r="BX18" s="443"/>
      <c r="BY18" s="443"/>
      <c r="BZ18" s="443"/>
      <c r="CA18" s="443"/>
      <c r="CB18" s="443"/>
      <c r="CC18" s="443"/>
      <c r="CD18" s="443"/>
      <c r="CE18" s="443"/>
      <c r="CF18" s="443"/>
      <c r="CG18" s="443"/>
      <c r="CH18" s="443"/>
      <c r="CI18" s="443"/>
      <c r="CJ18" s="443"/>
      <c r="CK18" s="443"/>
      <c r="CL18" s="443"/>
      <c r="CM18" s="443"/>
      <c r="CN18" s="443"/>
    </row>
    <row r="19" spans="3:92" x14ac:dyDescent="0.2">
      <c r="C19" s="13"/>
      <c r="D19" s="19">
        <f t="shared" si="9"/>
        <v>9</v>
      </c>
      <c r="E19" s="178" t="str">
        <f>IF(OR('Services - NHC'!E18="",'Services - NHC'!E18="[Enter service]"),"",'Services - NHC'!E18)</f>
        <v>Street Lighting</v>
      </c>
      <c r="F19" s="179" t="str">
        <f>IF(OR('Services - NHC'!F18="",'Services - NHC'!F18="[Select]"),"",'Services - NHC'!F18)</f>
        <v>External</v>
      </c>
      <c r="G19" s="191">
        <f>IF('Revenue - NHC'!V20="","",'Revenue - NHC'!V20)</f>
        <v>0</v>
      </c>
      <c r="H19" s="191">
        <f>IF('Revenue - WHC'!V20="","",'Revenue - WHC'!V20)</f>
        <v>0</v>
      </c>
      <c r="I19" s="191">
        <f>IF('Expenditure- NHC'!R19="","",'Expenditure- NHC'!R19)</f>
        <v>44900</v>
      </c>
      <c r="J19" s="190">
        <f>IF('Expenditure - WHC'!R19="","",'Expenditure - WHC'!R19)</f>
        <v>44900</v>
      </c>
      <c r="K19" s="207">
        <f t="shared" si="1"/>
        <v>0</v>
      </c>
      <c r="L19" s="211">
        <f t="shared" si="2"/>
        <v>0</v>
      </c>
      <c r="M19" s="205"/>
      <c r="N19" s="206"/>
      <c r="P19" s="13"/>
      <c r="Q19" s="184" t="str">
        <f>'Assets - NHC'!E172</f>
        <v>Heritage plant and equipment</v>
      </c>
      <c r="R19" s="143">
        <f>'Assets - NHC'!N172</f>
        <v>0</v>
      </c>
      <c r="S19" s="143">
        <f>'Assets - NHC'!O172</f>
        <v>0</v>
      </c>
      <c r="T19" s="143">
        <f>'Assets - NHC'!P172</f>
        <v>0</v>
      </c>
      <c r="U19" s="143">
        <f>'Assets - NHC'!Q172</f>
        <v>0</v>
      </c>
      <c r="V19" s="143">
        <f>'Assets - NHC'!R172</f>
        <v>0</v>
      </c>
      <c r="W19" s="143">
        <f>'Assets - WHC'!N187</f>
        <v>0</v>
      </c>
      <c r="X19" s="143">
        <f>'Assets - WHC'!O187</f>
        <v>0</v>
      </c>
      <c r="Y19" s="143">
        <f>'Assets - WHC'!P187</f>
        <v>0</v>
      </c>
      <c r="Z19" s="143">
        <f>'Assets - WHC'!Q187</f>
        <v>0</v>
      </c>
      <c r="AA19" s="143">
        <f>'Assets - WHC'!R187</f>
        <v>0</v>
      </c>
      <c r="AB19" s="185"/>
      <c r="AC19" s="184" t="str">
        <f t="shared" si="3"/>
        <v>Heritage plant and equipment</v>
      </c>
      <c r="AD19" s="143">
        <f t="shared" ref="AD19:AH23" si="11">W19-R19</f>
        <v>0</v>
      </c>
      <c r="AE19" s="143">
        <f t="shared" si="11"/>
        <v>0</v>
      </c>
      <c r="AF19" s="143">
        <f t="shared" si="11"/>
        <v>0</v>
      </c>
      <c r="AG19" s="143">
        <f t="shared" si="11"/>
        <v>0</v>
      </c>
      <c r="AH19" s="143">
        <f t="shared" si="11"/>
        <v>0</v>
      </c>
      <c r="AI19" s="31"/>
    </row>
    <row r="20" spans="3:92" x14ac:dyDescent="0.2">
      <c r="C20" s="13"/>
      <c r="D20" s="85">
        <f t="shared" si="9"/>
        <v>10</v>
      </c>
      <c r="E20" s="178" t="str">
        <f>IF(OR('Services - NHC'!E19="",'Services - NHC'!E19="[Enter service]"),"",'Services - NHC'!E19)</f>
        <v>Powerline Safety</v>
      </c>
      <c r="F20" s="179" t="str">
        <f>IF(OR('Services - NHC'!F19="",'Services - NHC'!F19="[Select]"),"",'Services - NHC'!F19)</f>
        <v>External</v>
      </c>
      <c r="G20" s="191">
        <f>IF('Revenue - NHC'!V21="","",'Revenue - NHC'!V21)</f>
        <v>0</v>
      </c>
      <c r="H20" s="191">
        <f>IF('Revenue - WHC'!V21="","",'Revenue - WHC'!V21)</f>
        <v>0</v>
      </c>
      <c r="I20" s="191">
        <f>IF('Expenditure- NHC'!R20="","",'Expenditure- NHC'!R20)</f>
        <v>60000</v>
      </c>
      <c r="J20" s="190">
        <f>IF('Expenditure - WHC'!R20="","",'Expenditure - WHC'!R20)</f>
        <v>60000</v>
      </c>
      <c r="K20" s="207">
        <f t="shared" si="1"/>
        <v>0</v>
      </c>
      <c r="L20" s="211">
        <f t="shared" si="2"/>
        <v>0</v>
      </c>
      <c r="M20" s="205"/>
      <c r="N20" s="206"/>
      <c r="P20" s="13"/>
      <c r="Q20" s="184" t="str">
        <f>'Assets - NHC'!E173</f>
        <v>Plant, machinery and equipment</v>
      </c>
      <c r="R20" s="143">
        <f>'Assets - NHC'!N173</f>
        <v>0</v>
      </c>
      <c r="S20" s="143">
        <f>'Assets - NHC'!O173</f>
        <v>165000</v>
      </c>
      <c r="T20" s="143">
        <f>'Assets - NHC'!P173</f>
        <v>0</v>
      </c>
      <c r="U20" s="143">
        <f>'Assets - NHC'!Q173</f>
        <v>0</v>
      </c>
      <c r="V20" s="143">
        <f>'Assets - NHC'!R173</f>
        <v>165000</v>
      </c>
      <c r="W20" s="143">
        <f>'Assets - WHC'!N188</f>
        <v>0</v>
      </c>
      <c r="X20" s="143">
        <f>'Assets - WHC'!O188</f>
        <v>165000</v>
      </c>
      <c r="Y20" s="143">
        <f>'Assets - WHC'!P188</f>
        <v>0</v>
      </c>
      <c r="Z20" s="143">
        <f>'Assets - WHC'!Q188</f>
        <v>0</v>
      </c>
      <c r="AA20" s="143">
        <f>'Assets - WHC'!R188</f>
        <v>165000</v>
      </c>
      <c r="AB20" s="185"/>
      <c r="AC20" s="184" t="str">
        <f t="shared" si="3"/>
        <v>Plant, machinery and equipment</v>
      </c>
      <c r="AD20" s="143">
        <f t="shared" si="11"/>
        <v>0</v>
      </c>
      <c r="AE20" s="143">
        <f t="shared" si="11"/>
        <v>0</v>
      </c>
      <c r="AF20" s="143">
        <f t="shared" si="11"/>
        <v>0</v>
      </c>
      <c r="AG20" s="143">
        <f t="shared" si="11"/>
        <v>0</v>
      </c>
      <c r="AH20" s="143">
        <f t="shared" si="11"/>
        <v>0</v>
      </c>
      <c r="AI20" s="31"/>
    </row>
    <row r="21" spans="3:92" x14ac:dyDescent="0.2">
      <c r="C21" s="13"/>
      <c r="D21" s="19">
        <f t="shared" si="9"/>
        <v>11</v>
      </c>
      <c r="E21" s="178" t="str">
        <f>IF(OR('Services - NHC'!E20="",'Services - NHC'!E20="[Enter service]"),"",'Services - NHC'!E20)</f>
        <v>Library</v>
      </c>
      <c r="F21" s="179" t="str">
        <f>IF(OR('Services - NHC'!F20="",'Services - NHC'!F20="[Select]"),"",'Services - NHC'!F20)</f>
        <v>External</v>
      </c>
      <c r="G21" s="191">
        <f>IF('Revenue - NHC'!V22="","",'Revenue - NHC'!V22)</f>
        <v>0</v>
      </c>
      <c r="H21" s="191">
        <f>IF('Revenue - WHC'!V22="","",'Revenue - WHC'!V22)</f>
        <v>0</v>
      </c>
      <c r="I21" s="191">
        <f>IF('Expenditure- NHC'!R21="","",'Expenditure- NHC'!R21)</f>
        <v>211500</v>
      </c>
      <c r="J21" s="190">
        <f>IF('Expenditure - WHC'!R21="","",'Expenditure - WHC'!R21)</f>
        <v>211500</v>
      </c>
      <c r="K21" s="207">
        <f t="shared" si="1"/>
        <v>0</v>
      </c>
      <c r="L21" s="211">
        <f t="shared" si="2"/>
        <v>0</v>
      </c>
      <c r="M21" s="205"/>
      <c r="N21" s="206"/>
      <c r="P21" s="13"/>
      <c r="Q21" s="184" t="str">
        <f>'Assets - NHC'!E174</f>
        <v>Fixtures, fittings and furniture</v>
      </c>
      <c r="R21" s="143">
        <f>'Assets - NHC'!N174</f>
        <v>0</v>
      </c>
      <c r="S21" s="143">
        <f>'Assets - NHC'!O174</f>
        <v>5000</v>
      </c>
      <c r="T21" s="143">
        <f>'Assets - NHC'!P174</f>
        <v>0</v>
      </c>
      <c r="U21" s="143">
        <f>'Assets - NHC'!Q174</f>
        <v>0</v>
      </c>
      <c r="V21" s="143">
        <f>'Assets - NHC'!R174</f>
        <v>5000</v>
      </c>
      <c r="W21" s="143">
        <f>'Assets - WHC'!N189</f>
        <v>0</v>
      </c>
      <c r="X21" s="143">
        <f>'Assets - WHC'!O189</f>
        <v>5000</v>
      </c>
      <c r="Y21" s="143">
        <f>'Assets - WHC'!P189</f>
        <v>0</v>
      </c>
      <c r="Z21" s="143">
        <f>'Assets - WHC'!Q189</f>
        <v>0</v>
      </c>
      <c r="AA21" s="143">
        <f>'Assets - WHC'!R189</f>
        <v>5000</v>
      </c>
      <c r="AB21" s="185"/>
      <c r="AC21" s="184" t="str">
        <f t="shared" si="3"/>
        <v>Fixtures, fittings and furniture</v>
      </c>
      <c r="AD21" s="143">
        <f t="shared" si="11"/>
        <v>0</v>
      </c>
      <c r="AE21" s="143">
        <f t="shared" si="11"/>
        <v>0</v>
      </c>
      <c r="AF21" s="143">
        <f t="shared" si="11"/>
        <v>0</v>
      </c>
      <c r="AG21" s="143">
        <f t="shared" si="11"/>
        <v>0</v>
      </c>
      <c r="AH21" s="143">
        <f t="shared" si="11"/>
        <v>0</v>
      </c>
      <c r="AI21" s="31"/>
    </row>
    <row r="22" spans="3:92" x14ac:dyDescent="0.2">
      <c r="C22" s="13"/>
      <c r="D22" s="19">
        <f t="shared" si="9"/>
        <v>12</v>
      </c>
      <c r="E22" s="178" t="str">
        <f>IF(OR('Services - NHC'!E21="",'Services - NHC'!E21="[Enter service]"),"",'Services - NHC'!E21)</f>
        <v>Recreation, Arts and Culture</v>
      </c>
      <c r="F22" s="179" t="str">
        <f>IF(OR('Services - NHC'!F21="",'Services - NHC'!F21="[Select]"),"",'Services - NHC'!F21)</f>
        <v>External</v>
      </c>
      <c r="G22" s="191">
        <f>IF('Revenue - NHC'!V23="","",'Revenue - NHC'!V23)</f>
        <v>0</v>
      </c>
      <c r="H22" s="191">
        <f>IF('Revenue - WHC'!V23="","",'Revenue - WHC'!V23)</f>
        <v>0</v>
      </c>
      <c r="I22" s="191">
        <f>IF('Expenditure- NHC'!R22="","",'Expenditure- NHC'!R22)</f>
        <v>28500</v>
      </c>
      <c r="J22" s="190">
        <f>IF('Expenditure - WHC'!R22="","",'Expenditure - WHC'!R22)</f>
        <v>28500</v>
      </c>
      <c r="K22" s="207">
        <f t="shared" si="1"/>
        <v>0</v>
      </c>
      <c r="L22" s="211">
        <f t="shared" si="2"/>
        <v>0</v>
      </c>
      <c r="M22" s="205"/>
      <c r="N22" s="206"/>
      <c r="P22" s="13"/>
      <c r="Q22" s="184" t="str">
        <f>'Assets - NHC'!E175</f>
        <v>Computers and telecommunications</v>
      </c>
      <c r="R22" s="143">
        <f>'Assets - NHC'!N175</f>
        <v>0</v>
      </c>
      <c r="S22" s="143">
        <f>'Assets - NHC'!O175</f>
        <v>30000</v>
      </c>
      <c r="T22" s="143">
        <f>'Assets - NHC'!P175</f>
        <v>0</v>
      </c>
      <c r="U22" s="143">
        <f>'Assets - NHC'!Q175</f>
        <v>0</v>
      </c>
      <c r="V22" s="143">
        <f>'Assets - NHC'!R175</f>
        <v>30000</v>
      </c>
      <c r="W22" s="143">
        <f>'Assets - WHC'!N190</f>
        <v>0</v>
      </c>
      <c r="X22" s="143">
        <f>'Assets - WHC'!O190</f>
        <v>30000</v>
      </c>
      <c r="Y22" s="143">
        <f>'Assets - WHC'!P190</f>
        <v>0</v>
      </c>
      <c r="Z22" s="143">
        <f>'Assets - WHC'!Q190</f>
        <v>0</v>
      </c>
      <c r="AA22" s="143">
        <f>'Assets - WHC'!R190</f>
        <v>30000</v>
      </c>
      <c r="AB22" s="185"/>
      <c r="AC22" s="184" t="str">
        <f t="shared" si="3"/>
        <v>Computers and telecommunications</v>
      </c>
      <c r="AD22" s="143">
        <f t="shared" si="11"/>
        <v>0</v>
      </c>
      <c r="AE22" s="143">
        <f t="shared" si="11"/>
        <v>0</v>
      </c>
      <c r="AF22" s="143">
        <f t="shared" si="11"/>
        <v>0</v>
      </c>
      <c r="AG22" s="143">
        <f t="shared" si="11"/>
        <v>0</v>
      </c>
      <c r="AH22" s="143">
        <f t="shared" si="11"/>
        <v>0</v>
      </c>
      <c r="AI22" s="31"/>
    </row>
    <row r="23" spans="3:92" x14ac:dyDescent="0.2">
      <c r="C23" s="13"/>
      <c r="D23" s="85">
        <f t="shared" si="9"/>
        <v>13</v>
      </c>
      <c r="E23" s="178" t="str">
        <f>IF(OR('Services - NHC'!E22="",'Services - NHC'!E22="[Enter service]"),"",'Services - NHC'!E22)</f>
        <v>Environmental Sustainability</v>
      </c>
      <c r="F23" s="179" t="str">
        <f>IF(OR('Services - NHC'!F22="",'Services - NHC'!F22="[Select]"),"",'Services - NHC'!F22)</f>
        <v>Mixed</v>
      </c>
      <c r="G23" s="191">
        <f>IF('Revenue - NHC'!V24="","",'Revenue - NHC'!V24)</f>
        <v>3000</v>
      </c>
      <c r="H23" s="191">
        <f>IF('Revenue - WHC'!V24="","",'Revenue - WHC'!V24)</f>
        <v>3000</v>
      </c>
      <c r="I23" s="191">
        <f>IF('Expenditure- NHC'!R23="","",'Expenditure- NHC'!R23)</f>
        <v>203073.200492017</v>
      </c>
      <c r="J23" s="190">
        <f>IF('Expenditure - WHC'!R23="","",'Expenditure - WHC'!R23)</f>
        <v>203073.200492017</v>
      </c>
      <c r="K23" s="207">
        <f t="shared" si="1"/>
        <v>0</v>
      </c>
      <c r="L23" s="211">
        <f t="shared" si="2"/>
        <v>0</v>
      </c>
      <c r="M23" s="205"/>
      <c r="N23" s="206"/>
      <c r="P23" s="13"/>
      <c r="Q23" s="184" t="str">
        <f>'Assets - NHC'!E176</f>
        <v>Library books</v>
      </c>
      <c r="R23" s="143">
        <f>'Assets - NHC'!N176</f>
        <v>0</v>
      </c>
      <c r="S23" s="143">
        <f>'Assets - NHC'!O176</f>
        <v>0</v>
      </c>
      <c r="T23" s="143">
        <f>'Assets - NHC'!P176</f>
        <v>0</v>
      </c>
      <c r="U23" s="143">
        <f>'Assets - NHC'!Q176</f>
        <v>0</v>
      </c>
      <c r="V23" s="143">
        <f>'Assets - NHC'!R176</f>
        <v>0</v>
      </c>
      <c r="W23" s="143">
        <f>'Assets - WHC'!N191</f>
        <v>0</v>
      </c>
      <c r="X23" s="143">
        <f>'Assets - WHC'!O191</f>
        <v>0</v>
      </c>
      <c r="Y23" s="143">
        <f>'Assets - WHC'!P191</f>
        <v>0</v>
      </c>
      <c r="Z23" s="143">
        <f>'Assets - WHC'!Q191</f>
        <v>0</v>
      </c>
      <c r="AA23" s="143">
        <f>'Assets - WHC'!R191</f>
        <v>0</v>
      </c>
      <c r="AB23" s="185"/>
      <c r="AC23" s="184" t="str">
        <f t="shared" si="3"/>
        <v>Library books</v>
      </c>
      <c r="AD23" s="143">
        <f t="shared" si="11"/>
        <v>0</v>
      </c>
      <c r="AE23" s="143">
        <f t="shared" si="11"/>
        <v>0</v>
      </c>
      <c r="AF23" s="143">
        <f t="shared" si="11"/>
        <v>0</v>
      </c>
      <c r="AG23" s="143">
        <f t="shared" si="11"/>
        <v>0</v>
      </c>
      <c r="AH23" s="143">
        <f t="shared" si="11"/>
        <v>0</v>
      </c>
      <c r="AI23" s="31"/>
    </row>
    <row r="24" spans="3:92" x14ac:dyDescent="0.2">
      <c r="C24" s="13"/>
      <c r="D24" s="19">
        <f t="shared" si="9"/>
        <v>14</v>
      </c>
      <c r="E24" s="178" t="str">
        <f>IF(OR('Services - NHC'!E23="",'Services - NHC'!E23="[Enter service]"),"",'Services - NHC'!E23)</f>
        <v>Coastal Protection</v>
      </c>
      <c r="F24" s="179" t="str">
        <f>IF(OR('Services - NHC'!F23="",'Services - NHC'!F23="[Select]"),"",'Services - NHC'!F23)</f>
        <v>External</v>
      </c>
      <c r="G24" s="191">
        <f>IF('Revenue - NHC'!V25="","",'Revenue - NHC'!V25)</f>
        <v>98400</v>
      </c>
      <c r="H24" s="191">
        <f>IF('Revenue - WHC'!V25="","",'Revenue - WHC'!V25)</f>
        <v>98400</v>
      </c>
      <c r="I24" s="191">
        <f>IF('Expenditure- NHC'!R24="","",'Expenditure- NHC'!R24)</f>
        <v>703911.76</v>
      </c>
      <c r="J24" s="190">
        <f>IF('Expenditure - WHC'!R24="","",'Expenditure - WHC'!R24)</f>
        <v>718911.76</v>
      </c>
      <c r="K24" s="207">
        <f t="shared" si="1"/>
        <v>0</v>
      </c>
      <c r="L24" s="211">
        <f t="shared" si="2"/>
        <v>15000</v>
      </c>
      <c r="M24" s="205"/>
      <c r="N24" s="206"/>
      <c r="P24" s="13"/>
      <c r="Q24" s="198" t="str">
        <f>'Assets - NHC'!E177</f>
        <v>Infrastructure</v>
      </c>
      <c r="R24" s="183">
        <f t="shared" ref="R24:AA24" si="12">SUM(R25:R34)</f>
        <v>1161367.56525</v>
      </c>
      <c r="S24" s="183">
        <f t="shared" si="12"/>
        <v>928194.36224999989</v>
      </c>
      <c r="T24" s="183">
        <f t="shared" si="12"/>
        <v>0</v>
      </c>
      <c r="U24" s="183">
        <f t="shared" si="12"/>
        <v>552561.90749999997</v>
      </c>
      <c r="V24" s="183">
        <f t="shared" si="12"/>
        <v>2642123.8349999995</v>
      </c>
      <c r="W24" s="183">
        <f t="shared" si="12"/>
        <v>1176367.56525</v>
      </c>
      <c r="X24" s="183">
        <f t="shared" si="12"/>
        <v>963194.36224999989</v>
      </c>
      <c r="Y24" s="183">
        <f t="shared" si="12"/>
        <v>0</v>
      </c>
      <c r="Z24" s="183">
        <f t="shared" si="12"/>
        <v>552561.90749999997</v>
      </c>
      <c r="AA24" s="183">
        <f t="shared" si="12"/>
        <v>2692123.8349999995</v>
      </c>
      <c r="AB24" s="185"/>
      <c r="AC24" s="198" t="str">
        <f t="shared" si="3"/>
        <v>Infrastructure</v>
      </c>
      <c r="AD24" s="183">
        <f>SUM(AD25:AD34)</f>
        <v>15000</v>
      </c>
      <c r="AE24" s="183">
        <f>SUM(AE25:AE34)</f>
        <v>35000</v>
      </c>
      <c r="AF24" s="183">
        <f>SUM(AF25:AF34)</f>
        <v>0</v>
      </c>
      <c r="AG24" s="183">
        <f>SUM(AG25:AG34)</f>
        <v>0</v>
      </c>
      <c r="AH24" s="183">
        <f>SUM(AH25:AH34)</f>
        <v>50000</v>
      </c>
      <c r="AI24" s="31"/>
    </row>
    <row r="25" spans="3:92" x14ac:dyDescent="0.2">
      <c r="C25" s="13"/>
      <c r="D25" s="19">
        <f t="shared" si="9"/>
        <v>15</v>
      </c>
      <c r="E25" s="178" t="str">
        <f>IF(OR('Services - NHC'!E24="",'Services - NHC'!E24="[Enter service]"),"",'Services - NHC'!E24)</f>
        <v>Waste Management and Recycling</v>
      </c>
      <c r="F25" s="179" t="str">
        <f>IF(OR('Services - NHC'!F24="",'Services - NHC'!F24="[Select]"),"",'Services - NHC'!F24)</f>
        <v>External</v>
      </c>
      <c r="G25" s="191">
        <f>IF('Revenue - NHC'!V26="","",'Revenue - NHC'!V26)</f>
        <v>26000</v>
      </c>
      <c r="H25" s="191">
        <f>IF('Revenue - WHC'!V26="","",'Revenue - WHC'!V26)</f>
        <v>26000</v>
      </c>
      <c r="I25" s="191">
        <f>IF('Expenditure- NHC'!R25="","",'Expenditure- NHC'!R25)</f>
        <v>894200</v>
      </c>
      <c r="J25" s="190">
        <f>IF('Expenditure - WHC'!R25="","",'Expenditure - WHC'!R25)</f>
        <v>894200</v>
      </c>
      <c r="K25" s="207">
        <f t="shared" si="1"/>
        <v>0</v>
      </c>
      <c r="L25" s="211">
        <f t="shared" si="2"/>
        <v>0</v>
      </c>
      <c r="M25" s="205"/>
      <c r="N25" s="206"/>
      <c r="P25" s="13"/>
      <c r="Q25" s="184" t="str">
        <f>'Assets - NHC'!E178</f>
        <v>Roads</v>
      </c>
      <c r="R25" s="143">
        <f>'Assets - NHC'!N178</f>
        <v>14306.535915</v>
      </c>
      <c r="S25" s="143">
        <f>'Assets - NHC'!O178</f>
        <v>360231.37253499997</v>
      </c>
      <c r="T25" s="143">
        <f>'Assets - NHC'!P178</f>
        <v>0</v>
      </c>
      <c r="U25" s="143">
        <f>'Assets - NHC'!Q178</f>
        <v>79637.908450000003</v>
      </c>
      <c r="V25" s="143">
        <f>'Assets - NHC'!R178</f>
        <v>454175.81689999998</v>
      </c>
      <c r="W25" s="143">
        <f>'Assets - WHC'!N193</f>
        <v>29306.535915</v>
      </c>
      <c r="X25" s="143">
        <f>'Assets - WHC'!O193</f>
        <v>360231.37253499997</v>
      </c>
      <c r="Y25" s="143">
        <f>'Assets - WHC'!P193</f>
        <v>0</v>
      </c>
      <c r="Z25" s="143">
        <f>'Assets - WHC'!Q193</f>
        <v>79637.908450000003</v>
      </c>
      <c r="AA25" s="143">
        <f>'Assets - WHC'!R193</f>
        <v>469175.81689999998</v>
      </c>
      <c r="AB25" s="185"/>
      <c r="AC25" s="184" t="str">
        <f t="shared" si="3"/>
        <v>Roads</v>
      </c>
      <c r="AD25" s="143">
        <f t="shared" ref="AD25:AD34" si="13">W25-R25</f>
        <v>15000</v>
      </c>
      <c r="AE25" s="143">
        <f t="shared" ref="AE25:AE34" si="14">X25-S25</f>
        <v>0</v>
      </c>
      <c r="AF25" s="143">
        <f t="shared" ref="AF25:AF34" si="15">Y25-T25</f>
        <v>0</v>
      </c>
      <c r="AG25" s="143">
        <f t="shared" ref="AG25:AG34" si="16">Z25-U25</f>
        <v>0</v>
      </c>
      <c r="AH25" s="143">
        <f t="shared" ref="AH25:AH34" si="17">AA25-V25</f>
        <v>15000</v>
      </c>
      <c r="AI25" s="31"/>
    </row>
    <row r="26" spans="3:92" x14ac:dyDescent="0.2">
      <c r="C26" s="13"/>
      <c r="D26" s="19">
        <f t="shared" si="9"/>
        <v>16</v>
      </c>
      <c r="E26" s="178" t="str">
        <f>IF(OR('Services - NHC'!E25="",'Services - NHC'!E25="[Enter service]"),"",'Services - NHC'!E25)</f>
        <v>Tourist Parks and Boat Ramp Services</v>
      </c>
      <c r="F26" s="179" t="str">
        <f>IF(OR('Services - NHC'!F25="",'Services - NHC'!F25="[Select]"),"",'Services - NHC'!F25)</f>
        <v>External</v>
      </c>
      <c r="G26" s="191">
        <f>IF('Revenue - NHC'!V27="","",'Revenue - NHC'!V27)</f>
        <v>1733757.0621519531</v>
      </c>
      <c r="H26" s="191">
        <f>IF('Revenue - WHC'!V27="","",'Revenue - WHC'!V27)</f>
        <v>1733757.0621519531</v>
      </c>
      <c r="I26" s="191">
        <f>IF('Expenditure- NHC'!R26="","",'Expenditure- NHC'!R26)</f>
        <v>1044580.45</v>
      </c>
      <c r="J26" s="190">
        <f>IF('Expenditure - WHC'!R26="","",'Expenditure - WHC'!R26)</f>
        <v>1044580.45</v>
      </c>
      <c r="K26" s="207">
        <f t="shared" si="1"/>
        <v>0</v>
      </c>
      <c r="L26" s="211">
        <f t="shared" si="2"/>
        <v>0</v>
      </c>
      <c r="M26" s="205"/>
      <c r="N26" s="206"/>
      <c r="P26" s="13"/>
      <c r="Q26" s="184" t="str">
        <f>'Assets - NHC'!E179</f>
        <v>Bridges</v>
      </c>
      <c r="R26" s="143">
        <f>'Assets - NHC'!N179</f>
        <v>0</v>
      </c>
      <c r="S26" s="143">
        <f>'Assets - NHC'!O179</f>
        <v>0</v>
      </c>
      <c r="T26" s="143">
        <f>'Assets - NHC'!P179</f>
        <v>0</v>
      </c>
      <c r="U26" s="143">
        <f>'Assets - NHC'!Q179</f>
        <v>0</v>
      </c>
      <c r="V26" s="143">
        <f>'Assets - NHC'!R179</f>
        <v>0</v>
      </c>
      <c r="W26" s="143">
        <f>'Assets - WHC'!N194</f>
        <v>0</v>
      </c>
      <c r="X26" s="143">
        <f>'Assets - WHC'!O194</f>
        <v>0</v>
      </c>
      <c r="Y26" s="143">
        <f>'Assets - WHC'!P194</f>
        <v>0</v>
      </c>
      <c r="Z26" s="143">
        <f>'Assets - WHC'!Q194</f>
        <v>0</v>
      </c>
      <c r="AA26" s="143">
        <f>'Assets - WHC'!R194</f>
        <v>0</v>
      </c>
      <c r="AB26" s="185"/>
      <c r="AC26" s="184" t="str">
        <f t="shared" si="3"/>
        <v>Bridges</v>
      </c>
      <c r="AD26" s="143">
        <f t="shared" si="13"/>
        <v>0</v>
      </c>
      <c r="AE26" s="143">
        <f t="shared" si="14"/>
        <v>0</v>
      </c>
      <c r="AF26" s="143">
        <f t="shared" si="15"/>
        <v>0</v>
      </c>
      <c r="AG26" s="143">
        <f t="shared" si="16"/>
        <v>0</v>
      </c>
      <c r="AH26" s="143">
        <f t="shared" si="17"/>
        <v>0</v>
      </c>
      <c r="AI26" s="31"/>
    </row>
    <row r="27" spans="3:92" x14ac:dyDescent="0.2">
      <c r="C27" s="13"/>
      <c r="D27" s="85">
        <f t="shared" si="9"/>
        <v>17</v>
      </c>
      <c r="E27" s="178" t="str">
        <f>IF(OR('Services - NHC'!E26="",'Services - NHC'!E26="[Enter service]"),"",'Services - NHC'!E26)</f>
        <v>Visitor Information Centre (VIC)</v>
      </c>
      <c r="F27" s="179" t="str">
        <f>IF(OR('Services - NHC'!F26="",'Services - NHC'!F26="[Select]"),"",'Services - NHC'!F26)</f>
        <v>External</v>
      </c>
      <c r="G27" s="191">
        <f>IF('Revenue - NHC'!V28="","",'Revenue - NHC'!V28)</f>
        <v>12000</v>
      </c>
      <c r="H27" s="191">
        <f>IF('Revenue - WHC'!V28="","",'Revenue - WHC'!V28)</f>
        <v>12000</v>
      </c>
      <c r="I27" s="191">
        <f>IF('Expenditure- NHC'!R27="","",'Expenditure- NHC'!R27)</f>
        <v>207800</v>
      </c>
      <c r="J27" s="190">
        <f>IF('Expenditure - WHC'!R27="","",'Expenditure - WHC'!R27)</f>
        <v>207800</v>
      </c>
      <c r="K27" s="207">
        <f t="shared" si="1"/>
        <v>0</v>
      </c>
      <c r="L27" s="211">
        <f t="shared" si="2"/>
        <v>0</v>
      </c>
      <c r="M27" s="205"/>
      <c r="N27" s="206"/>
      <c r="P27" s="13"/>
      <c r="Q27" s="184" t="str">
        <f>'Assets - NHC'!E180</f>
        <v>Footpaths and cycleways</v>
      </c>
      <c r="R27" s="143">
        <f>'Assets - NHC'!N180</f>
        <v>0</v>
      </c>
      <c r="S27" s="143">
        <f>'Assets - NHC'!O180</f>
        <v>34800</v>
      </c>
      <c r="T27" s="143">
        <f>'Assets - NHC'!P180</f>
        <v>0</v>
      </c>
      <c r="U27" s="143">
        <f>'Assets - NHC'!Q180</f>
        <v>29200</v>
      </c>
      <c r="V27" s="143">
        <f>'Assets - NHC'!R180</f>
        <v>64000</v>
      </c>
      <c r="W27" s="143">
        <f>'Assets - WHC'!N195</f>
        <v>0</v>
      </c>
      <c r="X27" s="143">
        <f>'Assets - WHC'!O195</f>
        <v>34800</v>
      </c>
      <c r="Y27" s="143">
        <f>'Assets - WHC'!P195</f>
        <v>0</v>
      </c>
      <c r="Z27" s="143">
        <f>'Assets - WHC'!Q195</f>
        <v>29200</v>
      </c>
      <c r="AA27" s="143">
        <f>'Assets - WHC'!R195</f>
        <v>64000</v>
      </c>
      <c r="AB27" s="185"/>
      <c r="AC27" s="184" t="str">
        <f t="shared" si="3"/>
        <v>Footpaths and cycleways</v>
      </c>
      <c r="AD27" s="143">
        <f t="shared" si="13"/>
        <v>0</v>
      </c>
      <c r="AE27" s="143">
        <f t="shared" si="14"/>
        <v>0</v>
      </c>
      <c r="AF27" s="143">
        <f t="shared" si="15"/>
        <v>0</v>
      </c>
      <c r="AG27" s="143">
        <f t="shared" si="16"/>
        <v>0</v>
      </c>
      <c r="AH27" s="143">
        <f t="shared" si="17"/>
        <v>0</v>
      </c>
      <c r="AI27" s="31"/>
    </row>
    <row r="28" spans="3:92" x14ac:dyDescent="0.2">
      <c r="C28" s="13"/>
      <c r="D28" s="19">
        <f t="shared" si="9"/>
        <v>18</v>
      </c>
      <c r="E28" s="178" t="str">
        <f>IF(OR('Services - NHC'!E27="",'Services - NHC'!E27="[Enter service]"),"",'Services - NHC'!E27)</f>
        <v>Tourism and Economic Development</v>
      </c>
      <c r="F28" s="179" t="str">
        <f>IF(OR('Services - NHC'!F27="",'Services - NHC'!F27="[Select]"),"",'Services - NHC'!F27)</f>
        <v>Mixed</v>
      </c>
      <c r="G28" s="191">
        <f>IF('Revenue - NHC'!V29="","",'Revenue - NHC'!V29)</f>
        <v>13000</v>
      </c>
      <c r="H28" s="191">
        <f>IF('Revenue - WHC'!V29="","",'Revenue - WHC'!V29)</f>
        <v>13000</v>
      </c>
      <c r="I28" s="191">
        <f>IF('Expenditure- NHC'!R28="","",'Expenditure- NHC'!R28)</f>
        <v>206200</v>
      </c>
      <c r="J28" s="190">
        <f>IF('Expenditure - WHC'!R28="","",'Expenditure - WHC'!R28)</f>
        <v>216200</v>
      </c>
      <c r="K28" s="207">
        <f t="shared" si="1"/>
        <v>0</v>
      </c>
      <c r="L28" s="211">
        <f t="shared" si="2"/>
        <v>10000</v>
      </c>
      <c r="M28" s="205"/>
      <c r="N28" s="206"/>
      <c r="P28" s="13"/>
      <c r="Q28" s="184" t="str">
        <f>'Assets - NHC'!E181</f>
        <v>Drainage</v>
      </c>
      <c r="R28" s="143">
        <f>'Assets - NHC'!N181</f>
        <v>0</v>
      </c>
      <c r="S28" s="143">
        <f>'Assets - NHC'!O181</f>
        <v>57100</v>
      </c>
      <c r="T28" s="143">
        <f>'Assets - NHC'!P181</f>
        <v>0</v>
      </c>
      <c r="U28" s="143">
        <f>'Assets - NHC'!Q181</f>
        <v>9600</v>
      </c>
      <c r="V28" s="143">
        <f>'Assets - NHC'!R181</f>
        <v>66700</v>
      </c>
      <c r="W28" s="143">
        <f>'Assets - WHC'!N196</f>
        <v>0</v>
      </c>
      <c r="X28" s="143">
        <f>'Assets - WHC'!O196</f>
        <v>57100</v>
      </c>
      <c r="Y28" s="143">
        <f>'Assets - WHC'!P196</f>
        <v>0</v>
      </c>
      <c r="Z28" s="143">
        <f>'Assets - WHC'!Q196</f>
        <v>9600</v>
      </c>
      <c r="AA28" s="143">
        <f>'Assets - WHC'!R196</f>
        <v>66700</v>
      </c>
      <c r="AB28" s="185"/>
      <c r="AC28" s="184" t="str">
        <f t="shared" si="3"/>
        <v>Drainage</v>
      </c>
      <c r="AD28" s="143">
        <f t="shared" si="13"/>
        <v>0</v>
      </c>
      <c r="AE28" s="143">
        <f t="shared" si="14"/>
        <v>0</v>
      </c>
      <c r="AF28" s="143">
        <f t="shared" si="15"/>
        <v>0</v>
      </c>
      <c r="AG28" s="143">
        <f t="shared" si="16"/>
        <v>0</v>
      </c>
      <c r="AH28" s="143">
        <f t="shared" si="17"/>
        <v>0</v>
      </c>
      <c r="AI28" s="31"/>
    </row>
    <row r="29" spans="3:92" x14ac:dyDescent="0.2">
      <c r="C29" s="13"/>
      <c r="D29" s="19">
        <f t="shared" si="9"/>
        <v>19</v>
      </c>
      <c r="E29" s="178" t="str">
        <f>IF(OR('Services - NHC'!E28="",'Services - NHC'!E28="[Enter service]"),"",'Services - NHC'!E28)</f>
        <v>Design and Project Management</v>
      </c>
      <c r="F29" s="179" t="str">
        <f>IF(OR('Services - NHC'!F28="",'Services - NHC'!F28="[Select]"),"",'Services - NHC'!F28)</f>
        <v>Mixed</v>
      </c>
      <c r="G29" s="191">
        <f>IF('Revenue - NHC'!V30="","",'Revenue - NHC'!V30)</f>
        <v>0</v>
      </c>
      <c r="H29" s="191">
        <f>IF('Revenue - WHC'!V30="","",'Revenue - WHC'!V30)</f>
        <v>0</v>
      </c>
      <c r="I29" s="191">
        <f>IF('Expenditure- NHC'!R29="","",'Expenditure- NHC'!R29)</f>
        <v>178800</v>
      </c>
      <c r="J29" s="190">
        <f>IF('Expenditure - WHC'!R29="","",'Expenditure - WHC'!R29)</f>
        <v>178800</v>
      </c>
      <c r="K29" s="207">
        <f t="shared" si="1"/>
        <v>0</v>
      </c>
      <c r="L29" s="211">
        <f t="shared" si="2"/>
        <v>0</v>
      </c>
      <c r="M29" s="205"/>
      <c r="N29" s="206"/>
      <c r="P29" s="13"/>
      <c r="Q29" s="184" t="str">
        <f>'Assets - NHC'!E182</f>
        <v>Recreastional, leisure and community facilities</v>
      </c>
      <c r="R29" s="143">
        <f>'Assets - NHC'!N182</f>
        <v>249298.22933499995</v>
      </c>
      <c r="S29" s="143">
        <f>'Assets - NHC'!O182</f>
        <v>206448.16971499997</v>
      </c>
      <c r="T29" s="143">
        <f>'Assets - NHC'!P182</f>
        <v>0</v>
      </c>
      <c r="U29" s="143">
        <f>'Assets - NHC'!Q182</f>
        <v>375291.39904999995</v>
      </c>
      <c r="V29" s="143">
        <f>'Assets - NHC'!R182</f>
        <v>831037.79809999978</v>
      </c>
      <c r="W29" s="143">
        <f>'Assets - WHC'!N197</f>
        <v>249298.22933499995</v>
      </c>
      <c r="X29" s="143">
        <f>'Assets - WHC'!O197</f>
        <v>206448.16971499997</v>
      </c>
      <c r="Y29" s="143">
        <f>'Assets - WHC'!P197</f>
        <v>0</v>
      </c>
      <c r="Z29" s="143">
        <f>'Assets - WHC'!Q197</f>
        <v>375291.39904999995</v>
      </c>
      <c r="AA29" s="143">
        <f>'Assets - WHC'!R197</f>
        <v>831037.79809999978</v>
      </c>
      <c r="AB29" s="185"/>
      <c r="AC29" s="184" t="str">
        <f t="shared" si="3"/>
        <v>Recreastional, leisure and community facilities</v>
      </c>
      <c r="AD29" s="143">
        <f t="shared" si="13"/>
        <v>0</v>
      </c>
      <c r="AE29" s="143">
        <f t="shared" si="14"/>
        <v>0</v>
      </c>
      <c r="AF29" s="143">
        <f t="shared" si="15"/>
        <v>0</v>
      </c>
      <c r="AG29" s="143">
        <f t="shared" si="16"/>
        <v>0</v>
      </c>
      <c r="AH29" s="143">
        <f t="shared" si="17"/>
        <v>0</v>
      </c>
      <c r="AI29" s="31"/>
    </row>
    <row r="30" spans="3:92" x14ac:dyDescent="0.2">
      <c r="C30" s="13"/>
      <c r="D30" s="19">
        <f t="shared" si="9"/>
        <v>20</v>
      </c>
      <c r="E30" s="178" t="str">
        <f>IF(OR('Services - NHC'!E29="",'Services - NHC'!E29="[Enter service]"),"",'Services - NHC'!E29)</f>
        <v>Land Use Planning</v>
      </c>
      <c r="F30" s="179" t="str">
        <f>IF(OR('Services - NHC'!F29="",'Services - NHC'!F29="[Select]"),"",'Services - NHC'!F29)</f>
        <v>External</v>
      </c>
      <c r="G30" s="191">
        <f>IF('Revenue - NHC'!V31="","",'Revenue - NHC'!V31)</f>
        <v>70000</v>
      </c>
      <c r="H30" s="191">
        <f>IF('Revenue - WHC'!V31="","",'Revenue - WHC'!V31)</f>
        <v>70000</v>
      </c>
      <c r="I30" s="191">
        <f>IF('Expenditure- NHC'!R30="","",'Expenditure- NHC'!R30)</f>
        <v>346456.92</v>
      </c>
      <c r="J30" s="190">
        <f>IF('Expenditure - WHC'!R30="","",'Expenditure - WHC'!R30)</f>
        <v>346456.92</v>
      </c>
      <c r="K30" s="207">
        <f t="shared" si="1"/>
        <v>0</v>
      </c>
      <c r="L30" s="211">
        <f t="shared" si="2"/>
        <v>0</v>
      </c>
      <c r="M30" s="205"/>
      <c r="N30" s="206"/>
      <c r="P30" s="13"/>
      <c r="Q30" s="184" t="str">
        <f>'Assets - NHC'!E183</f>
        <v>Waste management</v>
      </c>
      <c r="R30" s="143">
        <f>'Assets - NHC'!N183</f>
        <v>0</v>
      </c>
      <c r="S30" s="143">
        <f>'Assets - NHC'!O183</f>
        <v>0</v>
      </c>
      <c r="T30" s="143">
        <f>'Assets - NHC'!P183</f>
        <v>0</v>
      </c>
      <c r="U30" s="143">
        <f>'Assets - NHC'!Q183</f>
        <v>0</v>
      </c>
      <c r="V30" s="143">
        <f>'Assets - NHC'!R183</f>
        <v>0</v>
      </c>
      <c r="W30" s="143">
        <f>'Assets - WHC'!N198</f>
        <v>0</v>
      </c>
      <c r="X30" s="143">
        <f>'Assets - WHC'!O198</f>
        <v>0</v>
      </c>
      <c r="Y30" s="143">
        <f>'Assets - WHC'!P198</f>
        <v>0</v>
      </c>
      <c r="Z30" s="143">
        <f>'Assets - WHC'!Q198</f>
        <v>0</v>
      </c>
      <c r="AA30" s="143">
        <f>'Assets - WHC'!R198</f>
        <v>0</v>
      </c>
      <c r="AB30" s="185"/>
      <c r="AC30" s="184" t="str">
        <f t="shared" si="3"/>
        <v>Waste management</v>
      </c>
      <c r="AD30" s="143">
        <f t="shared" si="13"/>
        <v>0</v>
      </c>
      <c r="AE30" s="143">
        <f t="shared" si="14"/>
        <v>0</v>
      </c>
      <c r="AF30" s="143">
        <f t="shared" si="15"/>
        <v>0</v>
      </c>
      <c r="AG30" s="143">
        <f t="shared" si="16"/>
        <v>0</v>
      </c>
      <c r="AH30" s="143">
        <f t="shared" si="17"/>
        <v>0</v>
      </c>
      <c r="AI30" s="31"/>
    </row>
    <row r="31" spans="3:92" x14ac:dyDescent="0.2">
      <c r="C31" s="13"/>
      <c r="D31" s="85">
        <f t="shared" si="9"/>
        <v>21</v>
      </c>
      <c r="E31" s="178" t="str">
        <f>IF(OR('Services - NHC'!E30="",'Services - NHC'!E30="[Enter service]"),"",'Services - NHC'!E30)</f>
        <v>Heritage Conservation Advice</v>
      </c>
      <c r="F31" s="179" t="str">
        <f>IF(OR('Services - NHC'!F30="",'Services - NHC'!F30="[Select]"),"",'Services - NHC'!F30)</f>
        <v>External</v>
      </c>
      <c r="G31" s="191">
        <f>IF('Revenue - NHC'!V32="","",'Revenue - NHC'!V32)</f>
        <v>0</v>
      </c>
      <c r="H31" s="191">
        <f>IF('Revenue - WHC'!V32="","",'Revenue - WHC'!V32)</f>
        <v>0</v>
      </c>
      <c r="I31" s="191">
        <f>IF('Expenditure- NHC'!R31="","",'Expenditure- NHC'!R31)</f>
        <v>75000</v>
      </c>
      <c r="J31" s="190">
        <f>IF('Expenditure - WHC'!R31="","",'Expenditure - WHC'!R31)</f>
        <v>75000</v>
      </c>
      <c r="K31" s="207">
        <f t="shared" ref="K31:K94" si="18">IFERROR(H31-G31,"")</f>
        <v>0</v>
      </c>
      <c r="L31" s="211">
        <f t="shared" ref="L31:L94" si="19">IFERROR(J31-I31,"")</f>
        <v>0</v>
      </c>
      <c r="M31" s="205"/>
      <c r="N31" s="206"/>
      <c r="P31" s="13"/>
      <c r="Q31" s="184" t="str">
        <f>'Assets - NHC'!E184</f>
        <v>Parks, open space and streetscapes</v>
      </c>
      <c r="R31" s="143">
        <f>'Assets - NHC'!N184</f>
        <v>659450.30000000005</v>
      </c>
      <c r="S31" s="143">
        <f>'Assets - NHC'!O184</f>
        <v>255967.75</v>
      </c>
      <c r="T31" s="143">
        <f>'Assets - NHC'!P184</f>
        <v>0</v>
      </c>
      <c r="U31" s="143">
        <f>'Assets - NHC'!Q184</f>
        <v>34895.1</v>
      </c>
      <c r="V31" s="143">
        <f>'Assets - NHC'!R184</f>
        <v>950313.15</v>
      </c>
      <c r="W31" s="143">
        <f>'Assets - WHC'!N199</f>
        <v>659450.30000000005</v>
      </c>
      <c r="X31" s="143">
        <f>'Assets - WHC'!O199</f>
        <v>255967.75</v>
      </c>
      <c r="Y31" s="143">
        <f>'Assets - WHC'!P199</f>
        <v>0</v>
      </c>
      <c r="Z31" s="143">
        <f>'Assets - WHC'!Q199</f>
        <v>34895.1</v>
      </c>
      <c r="AA31" s="143">
        <f>'Assets - WHC'!R199</f>
        <v>950313.15</v>
      </c>
      <c r="AB31" s="185"/>
      <c r="AC31" s="184" t="str">
        <f t="shared" si="3"/>
        <v>Parks, open space and streetscapes</v>
      </c>
      <c r="AD31" s="143">
        <f t="shared" si="13"/>
        <v>0</v>
      </c>
      <c r="AE31" s="143">
        <f t="shared" si="14"/>
        <v>0</v>
      </c>
      <c r="AF31" s="143">
        <f t="shared" si="15"/>
        <v>0</v>
      </c>
      <c r="AG31" s="143">
        <f t="shared" si="16"/>
        <v>0</v>
      </c>
      <c r="AH31" s="143">
        <f t="shared" si="17"/>
        <v>0</v>
      </c>
      <c r="AI31" s="31"/>
    </row>
    <row r="32" spans="3:92" x14ac:dyDescent="0.2">
      <c r="C32" s="13"/>
      <c r="D32" s="19">
        <f t="shared" si="9"/>
        <v>22</v>
      </c>
      <c r="E32" s="178" t="str">
        <f>IF(OR('Services - NHC'!E31="",'Services - NHC'!E31="[Enter service]"),"",'Services - NHC'!E31)</f>
        <v>Building Control</v>
      </c>
      <c r="F32" s="179" t="str">
        <f>IF(OR('Services - NHC'!F31="",'Services - NHC'!F31="[Select]"),"",'Services - NHC'!F31)</f>
        <v>External</v>
      </c>
      <c r="G32" s="191">
        <f>IF('Revenue - NHC'!V33="","",'Revenue - NHC'!V33)</f>
        <v>15000</v>
      </c>
      <c r="H32" s="191">
        <f>IF('Revenue - WHC'!V33="","",'Revenue - WHC'!V33)</f>
        <v>15000</v>
      </c>
      <c r="I32" s="191">
        <f>IF('Expenditure- NHC'!R32="","",'Expenditure- NHC'!R32)</f>
        <v>58600</v>
      </c>
      <c r="J32" s="190">
        <f>IF('Expenditure - WHC'!R32="","",'Expenditure - WHC'!R32)</f>
        <v>58600</v>
      </c>
      <c r="K32" s="207">
        <f t="shared" si="18"/>
        <v>0</v>
      </c>
      <c r="L32" s="211">
        <f t="shared" si="19"/>
        <v>0</v>
      </c>
      <c r="M32" s="205"/>
      <c r="N32" s="206"/>
      <c r="P32" s="13"/>
      <c r="Q32" s="184" t="str">
        <f>'Assets - NHC'!E185</f>
        <v>Aerodromes</v>
      </c>
      <c r="R32" s="148">
        <f>'Assets - NHC'!N185</f>
        <v>0</v>
      </c>
      <c r="S32" s="148">
        <f>'Assets - NHC'!O185</f>
        <v>0</v>
      </c>
      <c r="T32" s="148">
        <f>'Assets - NHC'!P185</f>
        <v>0</v>
      </c>
      <c r="U32" s="148">
        <f>'Assets - NHC'!Q185</f>
        <v>0</v>
      </c>
      <c r="V32" s="148">
        <f>'Assets - NHC'!R185</f>
        <v>0</v>
      </c>
      <c r="W32" s="148">
        <f>'Assets - WHC'!N200</f>
        <v>0</v>
      </c>
      <c r="X32" s="148">
        <f>'Assets - WHC'!O200</f>
        <v>0</v>
      </c>
      <c r="Y32" s="148">
        <f>'Assets - WHC'!P200</f>
        <v>0</v>
      </c>
      <c r="Z32" s="148">
        <f>'Assets - WHC'!Q200</f>
        <v>0</v>
      </c>
      <c r="AA32" s="148">
        <f>'Assets - WHC'!R200</f>
        <v>0</v>
      </c>
      <c r="AB32" s="185"/>
      <c r="AC32" s="184" t="str">
        <f t="shared" si="3"/>
        <v>Aerodromes</v>
      </c>
      <c r="AD32" s="143">
        <f t="shared" si="13"/>
        <v>0</v>
      </c>
      <c r="AE32" s="143">
        <f t="shared" si="14"/>
        <v>0</v>
      </c>
      <c r="AF32" s="143">
        <f t="shared" si="15"/>
        <v>0</v>
      </c>
      <c r="AG32" s="143">
        <f t="shared" si="16"/>
        <v>0</v>
      </c>
      <c r="AH32" s="143">
        <f t="shared" si="17"/>
        <v>0</v>
      </c>
      <c r="AI32" s="31"/>
    </row>
    <row r="33" spans="3:35" x14ac:dyDescent="0.2">
      <c r="C33" s="13"/>
      <c r="D33" s="19">
        <f t="shared" si="9"/>
        <v>23</v>
      </c>
      <c r="E33" s="178" t="str">
        <f>IF(OR('Services - NHC'!E32="",'Services - NHC'!E32="[Enter service]"),"",'Services - NHC'!E32)</f>
        <v>Council Governance</v>
      </c>
      <c r="F33" s="179" t="str">
        <f>IF(OR('Services - NHC'!F32="",'Services - NHC'!F32="[Select]"),"",'Services - NHC'!F32)</f>
        <v>Mixed</v>
      </c>
      <c r="G33" s="191">
        <f>IF('Revenue - NHC'!V34="","",'Revenue - NHC'!V34)</f>
        <v>0</v>
      </c>
      <c r="H33" s="191">
        <f>IF('Revenue - WHC'!V34="","",'Revenue - WHC'!V34)</f>
        <v>0</v>
      </c>
      <c r="I33" s="191">
        <f>IF('Expenditure- NHC'!R33="","",'Expenditure- NHC'!R33)</f>
        <v>248900</v>
      </c>
      <c r="J33" s="190">
        <f>IF('Expenditure - WHC'!R33="","",'Expenditure - WHC'!R33)</f>
        <v>248900</v>
      </c>
      <c r="K33" s="207">
        <f t="shared" si="18"/>
        <v>0</v>
      </c>
      <c r="L33" s="211">
        <f t="shared" si="19"/>
        <v>0</v>
      </c>
      <c r="M33" s="205"/>
      <c r="N33" s="206"/>
      <c r="P33" s="13"/>
      <c r="Q33" s="184" t="str">
        <f>'Assets - NHC'!E186</f>
        <v>Off street car parks</v>
      </c>
      <c r="R33" s="143">
        <f>'Assets - NHC'!N186</f>
        <v>22312.5</v>
      </c>
      <c r="S33" s="143">
        <f>'Assets - NHC'!O186</f>
        <v>0</v>
      </c>
      <c r="T33" s="143">
        <f>'Assets - NHC'!P186</f>
        <v>0</v>
      </c>
      <c r="U33" s="143">
        <f>'Assets - NHC'!Q186</f>
        <v>3937.5</v>
      </c>
      <c r="V33" s="143">
        <f>'Assets - NHC'!R186</f>
        <v>26250</v>
      </c>
      <c r="W33" s="143">
        <f>'Assets - WHC'!N201</f>
        <v>22312.5</v>
      </c>
      <c r="X33" s="143">
        <f>'Assets - WHC'!O201</f>
        <v>0</v>
      </c>
      <c r="Y33" s="143">
        <f>'Assets - WHC'!P201</f>
        <v>0</v>
      </c>
      <c r="Z33" s="143">
        <f>'Assets - WHC'!Q201</f>
        <v>3937.5</v>
      </c>
      <c r="AA33" s="143">
        <f>'Assets - WHC'!R201</f>
        <v>26250</v>
      </c>
      <c r="AB33" s="185"/>
      <c r="AC33" s="184" t="str">
        <f t="shared" si="3"/>
        <v>Off street car parks</v>
      </c>
      <c r="AD33" s="143">
        <f t="shared" si="13"/>
        <v>0</v>
      </c>
      <c r="AE33" s="143">
        <f t="shared" si="14"/>
        <v>0</v>
      </c>
      <c r="AF33" s="143">
        <f t="shared" si="15"/>
        <v>0</v>
      </c>
      <c r="AG33" s="143">
        <f t="shared" si="16"/>
        <v>0</v>
      </c>
      <c r="AH33" s="143">
        <f t="shared" si="17"/>
        <v>0</v>
      </c>
      <c r="AI33" s="31"/>
    </row>
    <row r="34" spans="3:35" ht="12.75" customHeight="1" x14ac:dyDescent="0.2">
      <c r="C34" s="13"/>
      <c r="D34" s="85">
        <f t="shared" si="9"/>
        <v>24</v>
      </c>
      <c r="E34" s="178" t="str">
        <f>IF(OR('Services - NHC'!E33="",'Services - NHC'!E33="[Enter service]"),"",'Services - NHC'!E33)</f>
        <v>Organisation Performance and Compliance</v>
      </c>
      <c r="F34" s="179" t="str">
        <f>IF(OR('Services - NHC'!F33="",'Services - NHC'!F33="[Select]"),"",'Services - NHC'!F33)</f>
        <v>Internal</v>
      </c>
      <c r="G34" s="191">
        <f>IF('Revenue - NHC'!V35="","",'Revenue - NHC'!V35)</f>
        <v>199100</v>
      </c>
      <c r="H34" s="191">
        <f>IF('Revenue - WHC'!V35="","",'Revenue - WHC'!V35)</f>
        <v>199100</v>
      </c>
      <c r="I34" s="191">
        <f>IF('Expenditure- NHC'!R34="","",'Expenditure- NHC'!R34)</f>
        <v>1241023</v>
      </c>
      <c r="J34" s="190">
        <f>IF('Expenditure - WHC'!R34="","",'Expenditure - WHC'!R34)</f>
        <v>1239923</v>
      </c>
      <c r="K34" s="207">
        <f t="shared" si="18"/>
        <v>0</v>
      </c>
      <c r="L34" s="211">
        <f t="shared" si="19"/>
        <v>-1100</v>
      </c>
      <c r="M34" s="205"/>
      <c r="N34" s="206"/>
      <c r="P34" s="13"/>
      <c r="Q34" s="184" t="str">
        <f>'Assets - NHC'!E187</f>
        <v>Other infrastructure</v>
      </c>
      <c r="R34" s="143">
        <f>'Assets - NHC'!N187</f>
        <v>216000</v>
      </c>
      <c r="S34" s="143">
        <f>'Assets - NHC'!O187</f>
        <v>13647.07</v>
      </c>
      <c r="T34" s="143">
        <f>'Assets - NHC'!P187</f>
        <v>0</v>
      </c>
      <c r="U34" s="143">
        <f>'Assets - NHC'!Q187</f>
        <v>20000</v>
      </c>
      <c r="V34" s="143">
        <f>'Assets - NHC'!R187</f>
        <v>249647.07</v>
      </c>
      <c r="W34" s="143">
        <f>'Assets - WHC'!N202</f>
        <v>216000</v>
      </c>
      <c r="X34" s="143">
        <f>'Assets - WHC'!O202</f>
        <v>48647.07</v>
      </c>
      <c r="Y34" s="143">
        <f>'Assets - WHC'!P202</f>
        <v>0</v>
      </c>
      <c r="Z34" s="143">
        <f>'Assets - WHC'!Q202</f>
        <v>20000</v>
      </c>
      <c r="AA34" s="143">
        <f>'Assets - WHC'!R202</f>
        <v>284647.07</v>
      </c>
      <c r="AB34" s="185"/>
      <c r="AC34" s="184" t="str">
        <f t="shared" si="3"/>
        <v>Other infrastructure</v>
      </c>
      <c r="AD34" s="143">
        <f t="shared" si="13"/>
        <v>0</v>
      </c>
      <c r="AE34" s="143">
        <f t="shared" si="14"/>
        <v>35000</v>
      </c>
      <c r="AF34" s="143">
        <f t="shared" si="15"/>
        <v>0</v>
      </c>
      <c r="AG34" s="143">
        <f t="shared" si="16"/>
        <v>0</v>
      </c>
      <c r="AH34" s="143">
        <f t="shared" si="17"/>
        <v>35000</v>
      </c>
      <c r="AI34" s="31"/>
    </row>
    <row r="35" spans="3:35" ht="25.5" x14ac:dyDescent="0.2">
      <c r="C35" s="13"/>
      <c r="D35" s="19">
        <f t="shared" si="9"/>
        <v>25</v>
      </c>
      <c r="E35" s="178" t="str">
        <f>IF(OR('Services - NHC'!E34="",'Services - NHC'!E34="[Enter service]"),"",'Services - NHC'!E34)</f>
        <v>Community Engagement and Customer Service</v>
      </c>
      <c r="F35" s="179" t="str">
        <f>IF(OR('Services - NHC'!F34="",'Services - NHC'!F34="[Select]"),"",'Services - NHC'!F34)</f>
        <v>Mixed</v>
      </c>
      <c r="G35" s="191">
        <f>IF('Revenue - NHC'!V36="","",'Revenue - NHC'!V36)</f>
        <v>0</v>
      </c>
      <c r="H35" s="191">
        <f>IF('Revenue - WHC'!V36="","",'Revenue - WHC'!V36)</f>
        <v>0</v>
      </c>
      <c r="I35" s="191">
        <f>IF('Expenditure- NHC'!R35="","",'Expenditure- NHC'!R35)</f>
        <v>481300</v>
      </c>
      <c r="J35" s="190">
        <f>IF('Expenditure - WHC'!R35="","",'Expenditure - WHC'!R35)</f>
        <v>481300</v>
      </c>
      <c r="K35" s="207">
        <f t="shared" si="18"/>
        <v>0</v>
      </c>
      <c r="L35" s="211">
        <f t="shared" si="19"/>
        <v>0</v>
      </c>
      <c r="M35" s="205"/>
      <c r="N35" s="206"/>
      <c r="P35" s="13"/>
      <c r="Q35" s="199" t="s">
        <v>87</v>
      </c>
      <c r="R35" s="185">
        <f>R24+R18+R11</f>
        <v>1553098.4105</v>
      </c>
      <c r="S35" s="185">
        <f t="shared" ref="S35:AA35" si="20">S24+S18+S11</f>
        <v>1506684.7344999998</v>
      </c>
      <c r="T35" s="185">
        <f t="shared" si="20"/>
        <v>0</v>
      </c>
      <c r="U35" s="185">
        <f t="shared" si="20"/>
        <v>1106108.7149999999</v>
      </c>
      <c r="V35" s="185">
        <f t="shared" si="20"/>
        <v>4165891.8599999994</v>
      </c>
      <c r="W35" s="185">
        <f t="shared" si="20"/>
        <v>1583098.4105</v>
      </c>
      <c r="X35" s="185">
        <f t="shared" si="20"/>
        <v>1541684.7344999998</v>
      </c>
      <c r="Y35" s="185">
        <f t="shared" si="20"/>
        <v>0</v>
      </c>
      <c r="Z35" s="185">
        <f t="shared" si="20"/>
        <v>1106108.7149999999</v>
      </c>
      <c r="AA35" s="185">
        <f t="shared" si="20"/>
        <v>4230891.8599999994</v>
      </c>
      <c r="AB35" s="185"/>
      <c r="AC35" s="199" t="s">
        <v>87</v>
      </c>
      <c r="AD35" s="185">
        <f>AD24+AD18+AD11</f>
        <v>30000</v>
      </c>
      <c r="AE35" s="185">
        <f>AE24+AE18+AE11</f>
        <v>35000</v>
      </c>
      <c r="AF35" s="185">
        <f>AF24+AF18+AF11</f>
        <v>0</v>
      </c>
      <c r="AG35" s="185">
        <f>AG24+AG18+AG11</f>
        <v>0</v>
      </c>
      <c r="AH35" s="185">
        <f>AH24+AH18+AH11</f>
        <v>65000</v>
      </c>
      <c r="AI35" s="31"/>
    </row>
    <row r="36" spans="3:35" x14ac:dyDescent="0.2">
      <c r="C36" s="13"/>
      <c r="D36" s="19">
        <f t="shared" si="9"/>
        <v>26</v>
      </c>
      <c r="E36" s="178" t="str">
        <f>IF(OR('Services - NHC'!E35="",'Services - NHC'!E35="[Enter service]"),"",'Services - NHC'!E35)</f>
        <v>Financial and Risk Management</v>
      </c>
      <c r="F36" s="179" t="str">
        <f>IF(OR('Services - NHC'!F35="",'Services - NHC'!F35="[Select]"),"",'Services - NHC'!F35)</f>
        <v>Internal</v>
      </c>
      <c r="G36" s="191">
        <f>IF('Revenue - NHC'!V37="","",'Revenue - NHC'!V37)</f>
        <v>226373</v>
      </c>
      <c r="H36" s="191">
        <f>IF('Revenue - WHC'!V37="","",'Revenue - WHC'!V37)</f>
        <v>226373</v>
      </c>
      <c r="I36" s="191">
        <f>IF('Expenditure- NHC'!R36="","",'Expenditure- NHC'!R36)</f>
        <v>2187599.2435499998</v>
      </c>
      <c r="J36" s="190">
        <f>IF('Expenditure - WHC'!R36="","",'Expenditure - WHC'!R36)</f>
        <v>2197599.2435499998</v>
      </c>
      <c r="K36" s="207">
        <f t="shared" si="18"/>
        <v>0</v>
      </c>
      <c r="L36" s="211">
        <f t="shared" si="19"/>
        <v>10000</v>
      </c>
      <c r="M36" s="205"/>
      <c r="N36" s="206"/>
      <c r="P36" s="13"/>
      <c r="Q36" s="185"/>
      <c r="R36" s="185"/>
      <c r="S36" s="185"/>
      <c r="T36" s="185"/>
      <c r="U36" s="185"/>
      <c r="V36" s="185"/>
      <c r="W36" s="185"/>
      <c r="X36" s="185"/>
      <c r="Y36" s="185"/>
      <c r="Z36" s="185"/>
      <c r="AA36" s="185"/>
      <c r="AB36" s="185"/>
      <c r="AC36" s="185"/>
      <c r="AD36" s="185"/>
      <c r="AE36" s="185"/>
      <c r="AF36" s="185"/>
      <c r="AG36" s="185"/>
      <c r="AH36" s="185"/>
      <c r="AI36" s="31"/>
    </row>
    <row r="37" spans="3:35" ht="13.5" thickBot="1" x14ac:dyDescent="0.25">
      <c r="C37" s="13"/>
      <c r="D37" s="19">
        <f t="shared" si="9"/>
        <v>27</v>
      </c>
      <c r="E37" s="178" t="str">
        <f>IF(OR('Services - NHC'!E36="",'Services - NHC'!E36="[Enter service]"),"",'Services - NHC'!E36)</f>
        <v/>
      </c>
      <c r="F37" s="179" t="str">
        <f>IF(OR('Services - NHC'!F36="",'Services - NHC'!F36="[Select]"),"",'Services - NHC'!F36)</f>
        <v/>
      </c>
      <c r="G37" s="191">
        <f>IF('Revenue - NHC'!V38="","",'Revenue - NHC'!V38)</f>
        <v>0</v>
      </c>
      <c r="H37" s="191">
        <f>IF('Revenue - WHC'!V38="","",'Revenue - WHC'!V38)</f>
        <v>0</v>
      </c>
      <c r="I37" s="191">
        <f>IF('Expenditure- NHC'!R37="","",'Expenditure- NHC'!R37)</f>
        <v>0</v>
      </c>
      <c r="J37" s="190">
        <f>IF('Expenditure - WHC'!R37="","",'Expenditure - WHC'!R37)</f>
        <v>0</v>
      </c>
      <c r="K37" s="207">
        <f t="shared" si="18"/>
        <v>0</v>
      </c>
      <c r="L37" s="211">
        <f t="shared" si="19"/>
        <v>0</v>
      </c>
      <c r="M37" s="205"/>
      <c r="N37" s="206"/>
      <c r="P37" s="32"/>
      <c r="Q37" s="33"/>
      <c r="R37" s="195"/>
      <c r="S37" s="56"/>
      <c r="T37" s="90"/>
      <c r="U37" s="173"/>
      <c r="V37" s="173"/>
      <c r="W37" s="93"/>
      <c r="X37" s="175"/>
      <c r="Y37" s="175"/>
      <c r="Z37" s="175"/>
      <c r="AA37" s="175"/>
      <c r="AB37" s="175"/>
      <c r="AC37" s="175"/>
      <c r="AD37" s="175"/>
      <c r="AE37" s="175"/>
      <c r="AF37" s="175"/>
      <c r="AG37" s="175"/>
      <c r="AH37" s="175"/>
      <c r="AI37" s="48"/>
    </row>
    <row r="38" spans="3:35" x14ac:dyDescent="0.2">
      <c r="C38" s="13"/>
      <c r="D38" s="85">
        <f t="shared" si="9"/>
        <v>28</v>
      </c>
      <c r="E38" s="178" t="str">
        <f>IF(OR('Services - NHC'!E37="",'Services - NHC'!E37="[Enter service]"),"",'Services - NHC'!E37)</f>
        <v>Capital Works Program</v>
      </c>
      <c r="F38" s="179" t="str">
        <f>IF(OR('Services - NHC'!F37="",'Services - NHC'!F37="[Select]"),"",'Services - NHC'!F37)</f>
        <v>External</v>
      </c>
      <c r="G38" s="191">
        <f>IF('Revenue - NHC'!V39="","",'Revenue - NHC'!V39)</f>
        <v>2847751</v>
      </c>
      <c r="H38" s="191">
        <f>IF('Revenue - WHC'!V39="","",'Revenue - WHC'!V39)</f>
        <v>2852751</v>
      </c>
      <c r="I38" s="191">
        <f>IF('Expenditure- NHC'!R38="","",'Expenditure- NHC'!R38)</f>
        <v>0</v>
      </c>
      <c r="J38" s="190">
        <f>IF('Expenditure - WHC'!R38="","",'Expenditure - WHC'!R38)</f>
        <v>0</v>
      </c>
      <c r="K38" s="207">
        <f t="shared" si="18"/>
        <v>5000</v>
      </c>
      <c r="L38" s="211">
        <f t="shared" si="19"/>
        <v>0</v>
      </c>
      <c r="M38" s="205"/>
      <c r="N38" s="206"/>
    </row>
    <row r="39" spans="3:35" x14ac:dyDescent="0.2">
      <c r="C39" s="13"/>
      <c r="D39" s="19">
        <f t="shared" si="9"/>
        <v>29</v>
      </c>
      <c r="E39" s="178" t="str">
        <f>IF(OR('Services - NHC'!E38="",'Services - NHC'!E38="[Enter service]"),"",'Services - NHC'!E38)</f>
        <v/>
      </c>
      <c r="F39" s="179" t="str">
        <f>IF(OR('Services - NHC'!F38="",'Services - NHC'!F38="[Select]"),"",'Services - NHC'!F38)</f>
        <v/>
      </c>
      <c r="G39" s="191">
        <f>IF('Revenue - NHC'!V40="","",'Revenue - NHC'!V40)</f>
        <v>0</v>
      </c>
      <c r="H39" s="191">
        <f>IF('Revenue - WHC'!V40="","",'Revenue - WHC'!V40)</f>
        <v>0</v>
      </c>
      <c r="I39" s="191">
        <f>IF('Expenditure- NHC'!R39="","",'Expenditure- NHC'!R39)</f>
        <v>0</v>
      </c>
      <c r="J39" s="190">
        <f>IF('Expenditure - WHC'!R39="","",'Expenditure - WHC'!R39)</f>
        <v>0</v>
      </c>
      <c r="K39" s="207">
        <f t="shared" si="18"/>
        <v>0</v>
      </c>
      <c r="L39" s="211">
        <f t="shared" si="19"/>
        <v>0</v>
      </c>
      <c r="M39" s="205"/>
      <c r="N39" s="206"/>
    </row>
    <row r="40" spans="3:35" x14ac:dyDescent="0.2">
      <c r="C40" s="13"/>
      <c r="D40" s="19">
        <f t="shared" si="9"/>
        <v>30</v>
      </c>
      <c r="E40" s="178" t="str">
        <f>IF(OR('Services - NHC'!E39="",'Services - NHC'!E39="[Enter service]"),"",'Services - NHC'!E39)</f>
        <v/>
      </c>
      <c r="F40" s="179" t="str">
        <f>IF(OR('Services - NHC'!F39="",'Services - NHC'!F39="[Select]"),"",'Services - NHC'!F39)</f>
        <v/>
      </c>
      <c r="G40" s="191">
        <f>IF('Revenue - NHC'!V41="","",'Revenue - NHC'!V41)</f>
        <v>0</v>
      </c>
      <c r="H40" s="191">
        <f>IF('Revenue - WHC'!V41="","",'Revenue - WHC'!V41)</f>
        <v>0</v>
      </c>
      <c r="I40" s="191">
        <f>IF('Expenditure- NHC'!R40="","",'Expenditure- NHC'!R40)</f>
        <v>0</v>
      </c>
      <c r="J40" s="190">
        <f>IF('Expenditure - WHC'!R40="","",'Expenditure - WHC'!R40)</f>
        <v>0</v>
      </c>
      <c r="K40" s="207">
        <f t="shared" si="18"/>
        <v>0</v>
      </c>
      <c r="L40" s="211">
        <f t="shared" si="19"/>
        <v>0</v>
      </c>
      <c r="M40" s="205"/>
      <c r="N40" s="206"/>
    </row>
    <row r="41" spans="3:35" x14ac:dyDescent="0.2">
      <c r="C41" s="13"/>
      <c r="D41" s="19">
        <f t="shared" si="9"/>
        <v>31</v>
      </c>
      <c r="E41" s="178" t="str">
        <f>IF(OR('Services - NHC'!E40="",'Services - NHC'!E40="[Enter service]"),"",'Services - NHC'!E40)</f>
        <v/>
      </c>
      <c r="F41" s="179" t="str">
        <f>IF(OR('Services - NHC'!F40="",'Services - NHC'!F40="[Select]"),"",'Services - NHC'!F40)</f>
        <v/>
      </c>
      <c r="G41" s="191">
        <f>IF('Revenue - NHC'!V42="","",'Revenue - NHC'!V42)</f>
        <v>0</v>
      </c>
      <c r="H41" s="191">
        <f>IF('Revenue - WHC'!V42="","",'Revenue - WHC'!V42)</f>
        <v>0</v>
      </c>
      <c r="I41" s="191">
        <f>IF('Expenditure- NHC'!R41="","",'Expenditure- NHC'!R41)</f>
        <v>0</v>
      </c>
      <c r="J41" s="190">
        <f>IF('Expenditure - WHC'!R41="","",'Expenditure - WHC'!R41)</f>
        <v>0</v>
      </c>
      <c r="K41" s="207">
        <f t="shared" si="18"/>
        <v>0</v>
      </c>
      <c r="L41" s="211">
        <f t="shared" si="19"/>
        <v>0</v>
      </c>
      <c r="M41" s="205"/>
      <c r="N41" s="206"/>
    </row>
    <row r="42" spans="3:35" x14ac:dyDescent="0.2">
      <c r="C42" s="13"/>
      <c r="D42" s="85">
        <f t="shared" si="9"/>
        <v>32</v>
      </c>
      <c r="E42" s="178" t="str">
        <f>IF(OR('Services - NHC'!E41="",'Services - NHC'!E41="[Enter service]"),"",'Services - NHC'!E41)</f>
        <v/>
      </c>
      <c r="F42" s="179" t="str">
        <f>IF(OR('Services - NHC'!F41="",'Services - NHC'!F41="[Select]"),"",'Services - NHC'!F41)</f>
        <v/>
      </c>
      <c r="G42" s="191">
        <f>IF('Revenue - NHC'!V43="","",'Revenue - NHC'!V43)</f>
        <v>0</v>
      </c>
      <c r="H42" s="191">
        <f>IF('Revenue - WHC'!V43="","",'Revenue - WHC'!V43)</f>
        <v>0</v>
      </c>
      <c r="I42" s="191">
        <f>IF('Expenditure- NHC'!R42="","",'Expenditure- NHC'!R42)</f>
        <v>0</v>
      </c>
      <c r="J42" s="190">
        <f>IF('Expenditure - WHC'!R42="","",'Expenditure - WHC'!R42)</f>
        <v>0</v>
      </c>
      <c r="K42" s="207">
        <f t="shared" si="18"/>
        <v>0</v>
      </c>
      <c r="L42" s="211">
        <f t="shared" si="19"/>
        <v>0</v>
      </c>
      <c r="M42" s="205"/>
      <c r="N42" s="206"/>
    </row>
    <row r="43" spans="3:35" x14ac:dyDescent="0.2">
      <c r="C43" s="13"/>
      <c r="D43" s="19">
        <f t="shared" si="9"/>
        <v>33</v>
      </c>
      <c r="E43" s="178" t="str">
        <f>IF(OR('Services - NHC'!E42="",'Services - NHC'!E42="[Enter service]"),"",'Services - NHC'!E42)</f>
        <v/>
      </c>
      <c r="F43" s="179" t="str">
        <f>IF(OR('Services - NHC'!F42="",'Services - NHC'!F42="[Select]"),"",'Services - NHC'!F42)</f>
        <v/>
      </c>
      <c r="G43" s="191">
        <f>IF('Revenue - NHC'!V44="","",'Revenue - NHC'!V44)</f>
        <v>0</v>
      </c>
      <c r="H43" s="191">
        <f>IF('Revenue - WHC'!V44="","",'Revenue - WHC'!V44)</f>
        <v>0</v>
      </c>
      <c r="I43" s="191">
        <f>IF('Expenditure- NHC'!R43="","",'Expenditure- NHC'!R43)</f>
        <v>0</v>
      </c>
      <c r="J43" s="190">
        <f>IF('Expenditure - WHC'!R43="","",'Expenditure - WHC'!R43)</f>
        <v>0</v>
      </c>
      <c r="K43" s="207">
        <f t="shared" si="18"/>
        <v>0</v>
      </c>
      <c r="L43" s="211">
        <f t="shared" si="19"/>
        <v>0</v>
      </c>
      <c r="M43" s="205"/>
      <c r="N43" s="206"/>
    </row>
    <row r="44" spans="3:35" x14ac:dyDescent="0.2">
      <c r="C44" s="13"/>
      <c r="D44" s="19">
        <f t="shared" si="9"/>
        <v>34</v>
      </c>
      <c r="E44" s="178" t="str">
        <f>IF(OR('Services - NHC'!E43="",'Services - NHC'!E43="[Enter service]"),"",'Services - NHC'!E43)</f>
        <v/>
      </c>
      <c r="F44" s="179" t="str">
        <f>IF(OR('Services - NHC'!F43="",'Services - NHC'!F43="[Select]"),"",'Services - NHC'!F43)</f>
        <v/>
      </c>
      <c r="G44" s="191">
        <f>IF('Revenue - NHC'!V45="","",'Revenue - NHC'!V45)</f>
        <v>0</v>
      </c>
      <c r="H44" s="191">
        <f>IF('Revenue - WHC'!V45="","",'Revenue - WHC'!V45)</f>
        <v>0</v>
      </c>
      <c r="I44" s="191">
        <f>IF('Expenditure- NHC'!R44="","",'Expenditure- NHC'!R44)</f>
        <v>0</v>
      </c>
      <c r="J44" s="190">
        <f>IF('Expenditure - WHC'!R44="","",'Expenditure - WHC'!R44)</f>
        <v>0</v>
      </c>
      <c r="K44" s="207">
        <f t="shared" si="18"/>
        <v>0</v>
      </c>
      <c r="L44" s="211">
        <f t="shared" si="19"/>
        <v>0</v>
      </c>
      <c r="M44" s="205"/>
      <c r="N44" s="206"/>
    </row>
    <row r="45" spans="3:35" x14ac:dyDescent="0.2">
      <c r="C45" s="13"/>
      <c r="D45" s="85">
        <f t="shared" si="9"/>
        <v>35</v>
      </c>
      <c r="E45" s="178" t="str">
        <f>IF(OR('Services - NHC'!E44="",'Services - NHC'!E44="[Enter service]"),"",'Services - NHC'!E44)</f>
        <v/>
      </c>
      <c r="F45" s="179" t="str">
        <f>IF(OR('Services - NHC'!F44="",'Services - NHC'!F44="[Select]"),"",'Services - NHC'!F44)</f>
        <v/>
      </c>
      <c r="G45" s="191">
        <f>IF('Revenue - NHC'!V46="","",'Revenue - NHC'!V46)</f>
        <v>0</v>
      </c>
      <c r="H45" s="191">
        <f>IF('Revenue - WHC'!V46="","",'Revenue - WHC'!V46)</f>
        <v>0</v>
      </c>
      <c r="I45" s="191">
        <f>IF('Expenditure- NHC'!R45="","",'Expenditure- NHC'!R45)</f>
        <v>0</v>
      </c>
      <c r="J45" s="190">
        <f>IF('Expenditure - WHC'!R45="","",'Expenditure - WHC'!R45)</f>
        <v>0</v>
      </c>
      <c r="K45" s="207">
        <f t="shared" si="18"/>
        <v>0</v>
      </c>
      <c r="L45" s="211">
        <f t="shared" si="19"/>
        <v>0</v>
      </c>
      <c r="M45" s="205"/>
      <c r="N45" s="206"/>
    </row>
    <row r="46" spans="3:35" x14ac:dyDescent="0.2">
      <c r="C46" s="13"/>
      <c r="D46" s="19">
        <f t="shared" si="9"/>
        <v>36</v>
      </c>
      <c r="E46" s="178" t="str">
        <f>IF(OR('Services - NHC'!E45="",'Services - NHC'!E45="[Enter service]"),"",'Services - NHC'!E45)</f>
        <v/>
      </c>
      <c r="F46" s="179" t="str">
        <f>IF(OR('Services - NHC'!F45="",'Services - NHC'!F45="[Select]"),"",'Services - NHC'!F45)</f>
        <v/>
      </c>
      <c r="G46" s="191">
        <f>IF('Revenue - NHC'!V47="","",'Revenue - NHC'!V47)</f>
        <v>0</v>
      </c>
      <c r="H46" s="191">
        <f>IF('Revenue - WHC'!V47="","",'Revenue - WHC'!V47)</f>
        <v>0</v>
      </c>
      <c r="I46" s="191">
        <f>IF('Expenditure- NHC'!R46="","",'Expenditure- NHC'!R46)</f>
        <v>0</v>
      </c>
      <c r="J46" s="190">
        <f>IF('Expenditure - WHC'!R46="","",'Expenditure - WHC'!R46)</f>
        <v>0</v>
      </c>
      <c r="K46" s="207">
        <f t="shared" si="18"/>
        <v>0</v>
      </c>
      <c r="L46" s="211">
        <f t="shared" si="19"/>
        <v>0</v>
      </c>
      <c r="M46" s="205"/>
      <c r="N46" s="206"/>
    </row>
    <row r="47" spans="3:35" x14ac:dyDescent="0.2">
      <c r="C47" s="13"/>
      <c r="D47" s="19">
        <f t="shared" si="9"/>
        <v>37</v>
      </c>
      <c r="E47" s="178" t="str">
        <f>IF(OR('Services - NHC'!E46="",'Services - NHC'!E46="[Enter service]"),"",'Services - NHC'!E46)</f>
        <v/>
      </c>
      <c r="F47" s="179" t="str">
        <f>IF(OR('Services - NHC'!F46="",'Services - NHC'!F46="[Select]"),"",'Services - NHC'!F46)</f>
        <v/>
      </c>
      <c r="G47" s="191">
        <f>IF('Revenue - NHC'!V48="","",'Revenue - NHC'!V48)</f>
        <v>0</v>
      </c>
      <c r="H47" s="191">
        <f>IF('Revenue - WHC'!V48="","",'Revenue - WHC'!V48)</f>
        <v>0</v>
      </c>
      <c r="I47" s="191">
        <f>IF('Expenditure- NHC'!R47="","",'Expenditure- NHC'!R47)</f>
        <v>0</v>
      </c>
      <c r="J47" s="190">
        <f>IF('Expenditure - WHC'!R47="","",'Expenditure - WHC'!R47)</f>
        <v>0</v>
      </c>
      <c r="K47" s="207">
        <f t="shared" si="18"/>
        <v>0</v>
      </c>
      <c r="L47" s="211">
        <f t="shared" si="19"/>
        <v>0</v>
      </c>
      <c r="M47" s="205"/>
      <c r="N47" s="206"/>
    </row>
    <row r="48" spans="3:35" x14ac:dyDescent="0.2">
      <c r="C48" s="13"/>
      <c r="D48" s="19">
        <f t="shared" si="9"/>
        <v>38</v>
      </c>
      <c r="E48" s="178" t="str">
        <f>IF(OR('Services - NHC'!E47="",'Services - NHC'!E47="[Enter service]"),"",'Services - NHC'!E47)</f>
        <v/>
      </c>
      <c r="F48" s="179" t="str">
        <f>IF(OR('Services - NHC'!F47="",'Services - NHC'!F47="[Select]"),"",'Services - NHC'!F47)</f>
        <v/>
      </c>
      <c r="G48" s="191">
        <f>IF('Revenue - NHC'!V49="","",'Revenue - NHC'!V49)</f>
        <v>0</v>
      </c>
      <c r="H48" s="191">
        <f>IF('Revenue - WHC'!V49="","",'Revenue - WHC'!V49)</f>
        <v>0</v>
      </c>
      <c r="I48" s="191">
        <f>IF('Expenditure- NHC'!R48="","",'Expenditure- NHC'!R48)</f>
        <v>0</v>
      </c>
      <c r="J48" s="190">
        <f>IF('Expenditure - WHC'!R48="","",'Expenditure - WHC'!R48)</f>
        <v>0</v>
      </c>
      <c r="K48" s="207">
        <f t="shared" si="18"/>
        <v>0</v>
      </c>
      <c r="L48" s="211">
        <f t="shared" si="19"/>
        <v>0</v>
      </c>
      <c r="M48" s="205"/>
      <c r="N48" s="206"/>
    </row>
    <row r="49" spans="3:14" x14ac:dyDescent="0.2">
      <c r="C49" s="13"/>
      <c r="D49" s="85">
        <f t="shared" si="9"/>
        <v>39</v>
      </c>
      <c r="E49" s="178" t="str">
        <f>IF(OR('Services - NHC'!E48="",'Services - NHC'!E48="[Enter service]"),"",'Services - NHC'!E48)</f>
        <v/>
      </c>
      <c r="F49" s="179" t="str">
        <f>IF(OR('Services - NHC'!F48="",'Services - NHC'!F48="[Select]"),"",'Services - NHC'!F48)</f>
        <v/>
      </c>
      <c r="G49" s="191">
        <f>IF('Revenue - NHC'!V50="","",'Revenue - NHC'!V50)</f>
        <v>0</v>
      </c>
      <c r="H49" s="191">
        <f>IF('Revenue - WHC'!V50="","",'Revenue - WHC'!V50)</f>
        <v>0</v>
      </c>
      <c r="I49" s="191">
        <f>IF('Expenditure- NHC'!R49="","",'Expenditure- NHC'!R49)</f>
        <v>0</v>
      </c>
      <c r="J49" s="190">
        <f>IF('Expenditure - WHC'!R49="","",'Expenditure - WHC'!R49)</f>
        <v>0</v>
      </c>
      <c r="K49" s="207">
        <f t="shared" si="18"/>
        <v>0</v>
      </c>
      <c r="L49" s="211">
        <f t="shared" si="19"/>
        <v>0</v>
      </c>
      <c r="M49" s="205"/>
      <c r="N49" s="206"/>
    </row>
    <row r="50" spans="3:14" x14ac:dyDescent="0.2">
      <c r="C50" s="13"/>
      <c r="D50" s="19">
        <f t="shared" si="9"/>
        <v>40</v>
      </c>
      <c r="E50" s="178" t="str">
        <f>IF(OR('Services - NHC'!E49="",'Services - NHC'!E49="[Enter service]"),"",'Services - NHC'!E49)</f>
        <v/>
      </c>
      <c r="F50" s="179" t="str">
        <f>IF(OR('Services - NHC'!F49="",'Services - NHC'!F49="[Select]"),"",'Services - NHC'!F49)</f>
        <v/>
      </c>
      <c r="G50" s="191">
        <f>IF('Revenue - NHC'!V51="","",'Revenue - NHC'!V51)</f>
        <v>0</v>
      </c>
      <c r="H50" s="191">
        <f>IF('Revenue - WHC'!V51="","",'Revenue - WHC'!V51)</f>
        <v>0</v>
      </c>
      <c r="I50" s="191">
        <f>IF('Expenditure- NHC'!R50="","",'Expenditure- NHC'!R50)</f>
        <v>0</v>
      </c>
      <c r="J50" s="190">
        <f>IF('Expenditure - WHC'!R50="","",'Expenditure - WHC'!R50)</f>
        <v>0</v>
      </c>
      <c r="K50" s="207">
        <f t="shared" si="18"/>
        <v>0</v>
      </c>
      <c r="L50" s="211">
        <f t="shared" si="19"/>
        <v>0</v>
      </c>
      <c r="M50" s="205"/>
      <c r="N50" s="206"/>
    </row>
    <row r="51" spans="3:14" x14ac:dyDescent="0.2">
      <c r="C51" s="13"/>
      <c r="D51" s="19">
        <f t="shared" si="9"/>
        <v>41</v>
      </c>
      <c r="E51" s="178" t="str">
        <f>IF(OR('Services - NHC'!E50="",'Services - NHC'!E50="[Enter service]"),"",'Services - NHC'!E50)</f>
        <v/>
      </c>
      <c r="F51" s="179" t="str">
        <f>IF(OR('Services - NHC'!F50="",'Services - NHC'!F50="[Select]"),"",'Services - NHC'!F50)</f>
        <v/>
      </c>
      <c r="G51" s="191">
        <f>IF('Revenue - NHC'!V52="","",'Revenue - NHC'!V52)</f>
        <v>0</v>
      </c>
      <c r="H51" s="191">
        <f>IF('Revenue - WHC'!V52="","",'Revenue - WHC'!V52)</f>
        <v>0</v>
      </c>
      <c r="I51" s="191">
        <f>IF('Expenditure- NHC'!R51="","",'Expenditure- NHC'!R51)</f>
        <v>0</v>
      </c>
      <c r="J51" s="190">
        <f>IF('Expenditure - WHC'!R51="","",'Expenditure - WHC'!R51)</f>
        <v>0</v>
      </c>
      <c r="K51" s="207">
        <f t="shared" si="18"/>
        <v>0</v>
      </c>
      <c r="L51" s="211">
        <f t="shared" si="19"/>
        <v>0</v>
      </c>
      <c r="M51" s="205"/>
      <c r="N51" s="206"/>
    </row>
    <row r="52" spans="3:14" x14ac:dyDescent="0.2">
      <c r="C52" s="13"/>
      <c r="D52" s="19">
        <f t="shared" si="9"/>
        <v>42</v>
      </c>
      <c r="E52" s="178" t="str">
        <f>IF(OR('Services - NHC'!E51="",'Services - NHC'!E51="[Enter service]"),"",'Services - NHC'!E51)</f>
        <v/>
      </c>
      <c r="F52" s="179" t="str">
        <f>IF(OR('Services - NHC'!F51="",'Services - NHC'!F51="[Select]"),"",'Services - NHC'!F51)</f>
        <v/>
      </c>
      <c r="G52" s="191">
        <f>IF('Revenue - NHC'!V53="","",'Revenue - NHC'!V53)</f>
        <v>0</v>
      </c>
      <c r="H52" s="191">
        <f>IF('Revenue - WHC'!V53="","",'Revenue - WHC'!V53)</f>
        <v>0</v>
      </c>
      <c r="I52" s="191">
        <f>IF('Expenditure- NHC'!R52="","",'Expenditure- NHC'!R52)</f>
        <v>0</v>
      </c>
      <c r="J52" s="190">
        <f>IF('Expenditure - WHC'!R52="","",'Expenditure - WHC'!R52)</f>
        <v>0</v>
      </c>
      <c r="K52" s="207">
        <f t="shared" si="18"/>
        <v>0</v>
      </c>
      <c r="L52" s="211">
        <f t="shared" si="19"/>
        <v>0</v>
      </c>
      <c r="M52" s="205"/>
      <c r="N52" s="206"/>
    </row>
    <row r="53" spans="3:14" x14ac:dyDescent="0.2">
      <c r="C53" s="13"/>
      <c r="D53" s="85">
        <f t="shared" si="9"/>
        <v>43</v>
      </c>
      <c r="E53" s="178" t="str">
        <f>IF(OR('Services - NHC'!E52="",'Services - NHC'!E52="[Enter service]"),"",'Services - NHC'!E52)</f>
        <v/>
      </c>
      <c r="F53" s="179" t="str">
        <f>IF(OR('Services - NHC'!F52="",'Services - NHC'!F52="[Select]"),"",'Services - NHC'!F52)</f>
        <v/>
      </c>
      <c r="G53" s="191">
        <f>IF('Revenue - NHC'!V54="","",'Revenue - NHC'!V54)</f>
        <v>0</v>
      </c>
      <c r="H53" s="191">
        <f>IF('Revenue - WHC'!V54="","",'Revenue - WHC'!V54)</f>
        <v>0</v>
      </c>
      <c r="I53" s="191">
        <f>IF('Expenditure- NHC'!R53="","",'Expenditure- NHC'!R53)</f>
        <v>0</v>
      </c>
      <c r="J53" s="190">
        <f>IF('Expenditure - WHC'!R53="","",'Expenditure - WHC'!R53)</f>
        <v>0</v>
      </c>
      <c r="K53" s="207">
        <f t="shared" si="18"/>
        <v>0</v>
      </c>
      <c r="L53" s="211">
        <f t="shared" si="19"/>
        <v>0</v>
      </c>
      <c r="M53" s="205"/>
      <c r="N53" s="206"/>
    </row>
    <row r="54" spans="3:14" x14ac:dyDescent="0.2">
      <c r="C54" s="13"/>
      <c r="D54" s="19">
        <f t="shared" si="9"/>
        <v>44</v>
      </c>
      <c r="E54" s="178" t="str">
        <f>IF(OR('Services - NHC'!E53="",'Services - NHC'!E53="[Enter service]"),"",'Services - NHC'!E53)</f>
        <v/>
      </c>
      <c r="F54" s="179" t="str">
        <f>IF(OR('Services - NHC'!F53="",'Services - NHC'!F53="[Select]"),"",'Services - NHC'!F53)</f>
        <v/>
      </c>
      <c r="G54" s="191">
        <f>IF('Revenue - NHC'!V55="","",'Revenue - NHC'!V55)</f>
        <v>0</v>
      </c>
      <c r="H54" s="191">
        <f>IF('Revenue - WHC'!V55="","",'Revenue - WHC'!V55)</f>
        <v>0</v>
      </c>
      <c r="I54" s="191">
        <f>IF('Expenditure- NHC'!R54="","",'Expenditure- NHC'!R54)</f>
        <v>0</v>
      </c>
      <c r="J54" s="190">
        <f>IF('Expenditure - WHC'!R54="","",'Expenditure - WHC'!R54)</f>
        <v>0</v>
      </c>
      <c r="K54" s="207">
        <f t="shared" si="18"/>
        <v>0</v>
      </c>
      <c r="L54" s="211">
        <f t="shared" si="19"/>
        <v>0</v>
      </c>
      <c r="M54" s="205"/>
      <c r="N54" s="206"/>
    </row>
    <row r="55" spans="3:14" x14ac:dyDescent="0.2">
      <c r="C55" s="13"/>
      <c r="D55" s="19">
        <f t="shared" si="9"/>
        <v>45</v>
      </c>
      <c r="E55" s="178" t="str">
        <f>IF(OR('Services - NHC'!E54="",'Services - NHC'!E54="[Enter service]"),"",'Services - NHC'!E54)</f>
        <v/>
      </c>
      <c r="F55" s="179" t="str">
        <f>IF(OR('Services - NHC'!F54="",'Services - NHC'!F54="[Select]"),"",'Services - NHC'!F54)</f>
        <v/>
      </c>
      <c r="G55" s="191">
        <f>IF('Revenue - NHC'!V56="","",'Revenue - NHC'!V56)</f>
        <v>0</v>
      </c>
      <c r="H55" s="191">
        <f>IF('Revenue - WHC'!V56="","",'Revenue - WHC'!V56)</f>
        <v>0</v>
      </c>
      <c r="I55" s="191">
        <f>IF('Expenditure- NHC'!R55="","",'Expenditure- NHC'!R55)</f>
        <v>0</v>
      </c>
      <c r="J55" s="190">
        <f>IF('Expenditure - WHC'!R55="","",'Expenditure - WHC'!R55)</f>
        <v>0</v>
      </c>
      <c r="K55" s="207">
        <f t="shared" si="18"/>
        <v>0</v>
      </c>
      <c r="L55" s="211">
        <f t="shared" si="19"/>
        <v>0</v>
      </c>
      <c r="M55" s="205"/>
      <c r="N55" s="206"/>
    </row>
    <row r="56" spans="3:14" hidden="1" outlineLevel="1" x14ac:dyDescent="0.2">
      <c r="C56" s="13"/>
      <c r="D56" s="85">
        <f t="shared" si="9"/>
        <v>46</v>
      </c>
      <c r="E56" s="178" t="str">
        <f>IF(OR('Services - NHC'!E55="",'Services - NHC'!E55="[Enter service]"),"",'Services - NHC'!E55)</f>
        <v/>
      </c>
      <c r="F56" s="179" t="str">
        <f>IF(OR('Services - NHC'!F55="",'Services - NHC'!F55="[Select]"),"",'Services - NHC'!F55)</f>
        <v/>
      </c>
      <c r="G56" s="191">
        <f>IF('Revenue - NHC'!V57="","",'Revenue - NHC'!V57)</f>
        <v>0</v>
      </c>
      <c r="H56" s="191">
        <f>IF('Revenue - WHC'!V57="","",'Revenue - WHC'!V57)</f>
        <v>0</v>
      </c>
      <c r="I56" s="191">
        <f>IF('Expenditure- NHC'!R56="","",'Expenditure- NHC'!R56)</f>
        <v>0</v>
      </c>
      <c r="J56" s="190">
        <f>IF('Expenditure - WHC'!R56="","",'Expenditure - WHC'!R56)</f>
        <v>0</v>
      </c>
      <c r="K56" s="207">
        <f t="shared" si="18"/>
        <v>0</v>
      </c>
      <c r="L56" s="211">
        <f t="shared" si="19"/>
        <v>0</v>
      </c>
      <c r="M56" s="205"/>
      <c r="N56" s="206"/>
    </row>
    <row r="57" spans="3:14" hidden="1" outlineLevel="1" x14ac:dyDescent="0.2">
      <c r="C57" s="13"/>
      <c r="D57" s="19">
        <f t="shared" si="9"/>
        <v>47</v>
      </c>
      <c r="E57" s="178" t="str">
        <f>IF(OR('Services - NHC'!E56="",'Services - NHC'!E56="[Enter service]"),"",'Services - NHC'!E56)</f>
        <v/>
      </c>
      <c r="F57" s="179" t="str">
        <f>IF(OR('Services - NHC'!F56="",'Services - NHC'!F56="[Select]"),"",'Services - NHC'!F56)</f>
        <v/>
      </c>
      <c r="G57" s="191">
        <f>IF('Revenue - NHC'!V58="","",'Revenue - NHC'!V58)</f>
        <v>0</v>
      </c>
      <c r="H57" s="191">
        <f>IF('Revenue - WHC'!V58="","",'Revenue - WHC'!V58)</f>
        <v>0</v>
      </c>
      <c r="I57" s="191">
        <f>IF('Expenditure- NHC'!R57="","",'Expenditure- NHC'!R57)</f>
        <v>0</v>
      </c>
      <c r="J57" s="190">
        <f>IF('Expenditure - WHC'!R57="","",'Expenditure - WHC'!R57)</f>
        <v>0</v>
      </c>
      <c r="K57" s="207">
        <f t="shared" si="18"/>
        <v>0</v>
      </c>
      <c r="L57" s="211">
        <f t="shared" si="19"/>
        <v>0</v>
      </c>
      <c r="M57" s="205"/>
      <c r="N57" s="206"/>
    </row>
    <row r="58" spans="3:14" hidden="1" outlineLevel="1" x14ac:dyDescent="0.2">
      <c r="C58" s="13"/>
      <c r="D58" s="19">
        <f t="shared" si="9"/>
        <v>48</v>
      </c>
      <c r="E58" s="178" t="str">
        <f>IF(OR('Services - NHC'!E57="",'Services - NHC'!E57="[Enter service]"),"",'Services - NHC'!E57)</f>
        <v/>
      </c>
      <c r="F58" s="179" t="str">
        <f>IF(OR('Services - NHC'!F57="",'Services - NHC'!F57="[Select]"),"",'Services - NHC'!F57)</f>
        <v/>
      </c>
      <c r="G58" s="191">
        <f>IF('Revenue - NHC'!V59="","",'Revenue - NHC'!V59)</f>
        <v>0</v>
      </c>
      <c r="H58" s="191">
        <f>IF('Revenue - WHC'!V59="","",'Revenue - WHC'!V59)</f>
        <v>0</v>
      </c>
      <c r="I58" s="191">
        <f>IF('Expenditure- NHC'!R58="","",'Expenditure- NHC'!R58)</f>
        <v>0</v>
      </c>
      <c r="J58" s="190">
        <f>IF('Expenditure - WHC'!R58="","",'Expenditure - WHC'!R58)</f>
        <v>0</v>
      </c>
      <c r="K58" s="207">
        <f t="shared" si="18"/>
        <v>0</v>
      </c>
      <c r="L58" s="211">
        <f t="shared" si="19"/>
        <v>0</v>
      </c>
      <c r="M58" s="205"/>
      <c r="N58" s="206"/>
    </row>
    <row r="59" spans="3:14" hidden="1" outlineLevel="1" x14ac:dyDescent="0.2">
      <c r="C59" s="13"/>
      <c r="D59" s="19">
        <f t="shared" si="9"/>
        <v>49</v>
      </c>
      <c r="E59" s="178" t="str">
        <f>IF(OR('Services - NHC'!E58="",'Services - NHC'!E58="[Enter service]"),"",'Services - NHC'!E58)</f>
        <v/>
      </c>
      <c r="F59" s="179" t="str">
        <f>IF(OR('Services - NHC'!F58="",'Services - NHC'!F58="[Select]"),"",'Services - NHC'!F58)</f>
        <v/>
      </c>
      <c r="G59" s="191">
        <f>IF('Revenue - NHC'!V60="","",'Revenue - NHC'!V60)</f>
        <v>0</v>
      </c>
      <c r="H59" s="191">
        <f>IF('Revenue - WHC'!V60="","",'Revenue - WHC'!V60)</f>
        <v>0</v>
      </c>
      <c r="I59" s="191">
        <f>IF('Expenditure- NHC'!R59="","",'Expenditure- NHC'!R59)</f>
        <v>0</v>
      </c>
      <c r="J59" s="190">
        <f>IF('Expenditure - WHC'!R59="","",'Expenditure - WHC'!R59)</f>
        <v>0</v>
      </c>
      <c r="K59" s="207">
        <f t="shared" si="18"/>
        <v>0</v>
      </c>
      <c r="L59" s="211">
        <f t="shared" si="19"/>
        <v>0</v>
      </c>
      <c r="M59" s="205"/>
      <c r="N59" s="206"/>
    </row>
    <row r="60" spans="3:14" hidden="1" outlineLevel="1" x14ac:dyDescent="0.2">
      <c r="C60" s="13"/>
      <c r="D60" s="85">
        <f t="shared" si="9"/>
        <v>50</v>
      </c>
      <c r="E60" s="178" t="str">
        <f>IF(OR('Services - NHC'!E59="",'Services - NHC'!E59="[Enter service]"),"",'Services - NHC'!E59)</f>
        <v/>
      </c>
      <c r="F60" s="179" t="str">
        <f>IF(OR('Services - NHC'!F59="",'Services - NHC'!F59="[Select]"),"",'Services - NHC'!F59)</f>
        <v/>
      </c>
      <c r="G60" s="191">
        <f>IF('Revenue - NHC'!V61="","",'Revenue - NHC'!V61)</f>
        <v>0</v>
      </c>
      <c r="H60" s="191">
        <f>IF('Revenue - WHC'!V61="","",'Revenue - WHC'!V61)</f>
        <v>0</v>
      </c>
      <c r="I60" s="191">
        <f>IF('Expenditure- NHC'!R60="","",'Expenditure- NHC'!R60)</f>
        <v>0</v>
      </c>
      <c r="J60" s="190">
        <f>IF('Expenditure - WHC'!R60="","",'Expenditure - WHC'!R60)</f>
        <v>0</v>
      </c>
      <c r="K60" s="207">
        <f t="shared" si="18"/>
        <v>0</v>
      </c>
      <c r="L60" s="211">
        <f t="shared" si="19"/>
        <v>0</v>
      </c>
      <c r="M60" s="205"/>
      <c r="N60" s="206"/>
    </row>
    <row r="61" spans="3:14" hidden="1" outlineLevel="1" x14ac:dyDescent="0.2">
      <c r="C61" s="13"/>
      <c r="D61" s="19">
        <f t="shared" si="9"/>
        <v>51</v>
      </c>
      <c r="E61" s="178" t="str">
        <f>IF(OR('Services - NHC'!E60="",'Services - NHC'!E60="[Enter service]"),"",'Services - NHC'!E60)</f>
        <v/>
      </c>
      <c r="F61" s="179" t="str">
        <f>IF(OR('Services - NHC'!F60="",'Services - NHC'!F60="[Select]"),"",'Services - NHC'!F60)</f>
        <v/>
      </c>
      <c r="G61" s="191">
        <f>IF('Revenue - NHC'!V62="","",'Revenue - NHC'!V62)</f>
        <v>0</v>
      </c>
      <c r="H61" s="191">
        <f>IF('Revenue - WHC'!V62="","",'Revenue - WHC'!V62)</f>
        <v>0</v>
      </c>
      <c r="I61" s="191">
        <f>IF('Expenditure- NHC'!R61="","",'Expenditure- NHC'!R61)</f>
        <v>0</v>
      </c>
      <c r="J61" s="190">
        <f>IF('Expenditure - WHC'!R61="","",'Expenditure - WHC'!R61)</f>
        <v>0</v>
      </c>
      <c r="K61" s="207">
        <f t="shared" si="18"/>
        <v>0</v>
      </c>
      <c r="L61" s="211">
        <f t="shared" si="19"/>
        <v>0</v>
      </c>
      <c r="M61" s="205"/>
      <c r="N61" s="206"/>
    </row>
    <row r="62" spans="3:14" ht="12.75" hidden="1" customHeight="1" outlineLevel="1" x14ac:dyDescent="0.2">
      <c r="C62" s="13"/>
      <c r="D62" s="19">
        <f t="shared" si="9"/>
        <v>52</v>
      </c>
      <c r="E62" s="178" t="str">
        <f>IF(OR('Services - NHC'!E61="",'Services - NHC'!E61="[Enter service]"),"",'Services - NHC'!E61)</f>
        <v/>
      </c>
      <c r="F62" s="179" t="str">
        <f>IF(OR('Services - NHC'!F61="",'Services - NHC'!F61="[Select]"),"",'Services - NHC'!F61)</f>
        <v/>
      </c>
      <c r="G62" s="191">
        <f>IF('Revenue - NHC'!V63="","",'Revenue - NHC'!V63)</f>
        <v>0</v>
      </c>
      <c r="H62" s="191">
        <f>IF('Revenue - WHC'!V63="","",'Revenue - WHC'!V63)</f>
        <v>0</v>
      </c>
      <c r="I62" s="191">
        <f>IF('Expenditure- NHC'!R62="","",'Expenditure- NHC'!R62)</f>
        <v>0</v>
      </c>
      <c r="J62" s="190">
        <f>IF('Expenditure - WHC'!R62="","",'Expenditure - WHC'!R62)</f>
        <v>0</v>
      </c>
      <c r="K62" s="207">
        <f t="shared" si="18"/>
        <v>0</v>
      </c>
      <c r="L62" s="211">
        <f t="shared" si="19"/>
        <v>0</v>
      </c>
      <c r="M62" s="205"/>
      <c r="N62" s="206"/>
    </row>
    <row r="63" spans="3:14" hidden="1" outlineLevel="1" x14ac:dyDescent="0.2">
      <c r="C63" s="13"/>
      <c r="D63" s="19">
        <f t="shared" si="9"/>
        <v>53</v>
      </c>
      <c r="E63" s="178" t="str">
        <f>IF(OR('Services - NHC'!E62="",'Services - NHC'!E62="[Enter service]"),"",'Services - NHC'!E62)</f>
        <v/>
      </c>
      <c r="F63" s="179" t="str">
        <f>IF(OR('Services - NHC'!F62="",'Services - NHC'!F62="[Select]"),"",'Services - NHC'!F62)</f>
        <v/>
      </c>
      <c r="G63" s="191">
        <f>IF('Revenue - NHC'!V64="","",'Revenue - NHC'!V64)</f>
        <v>0</v>
      </c>
      <c r="H63" s="191">
        <f>IF('Revenue - WHC'!V64="","",'Revenue - WHC'!V64)</f>
        <v>0</v>
      </c>
      <c r="I63" s="191">
        <f>IF('Expenditure- NHC'!R63="","",'Expenditure- NHC'!R63)</f>
        <v>0</v>
      </c>
      <c r="J63" s="190">
        <f>IF('Expenditure - WHC'!R63="","",'Expenditure - WHC'!R63)</f>
        <v>0</v>
      </c>
      <c r="K63" s="207">
        <f t="shared" si="18"/>
        <v>0</v>
      </c>
      <c r="L63" s="211">
        <f t="shared" si="19"/>
        <v>0</v>
      </c>
      <c r="M63" s="205"/>
      <c r="N63" s="206"/>
    </row>
    <row r="64" spans="3:14" hidden="1" outlineLevel="1" x14ac:dyDescent="0.2">
      <c r="C64" s="13"/>
      <c r="D64" s="85">
        <f t="shared" si="9"/>
        <v>54</v>
      </c>
      <c r="E64" s="178" t="str">
        <f>IF(OR('Services - NHC'!E63="",'Services - NHC'!E63="[Enter service]"),"",'Services - NHC'!E63)</f>
        <v/>
      </c>
      <c r="F64" s="179" t="str">
        <f>IF(OR('Services - NHC'!F63="",'Services - NHC'!F63="[Select]"),"",'Services - NHC'!F63)</f>
        <v/>
      </c>
      <c r="G64" s="191">
        <f>IF('Revenue - NHC'!V65="","",'Revenue - NHC'!V65)</f>
        <v>0</v>
      </c>
      <c r="H64" s="191">
        <f>IF('Revenue - WHC'!V65="","",'Revenue - WHC'!V65)</f>
        <v>0</v>
      </c>
      <c r="I64" s="191">
        <f>IF('Expenditure- NHC'!R64="","",'Expenditure- NHC'!R64)</f>
        <v>0</v>
      </c>
      <c r="J64" s="190">
        <f>IF('Expenditure - WHC'!R64="","",'Expenditure - WHC'!R64)</f>
        <v>0</v>
      </c>
      <c r="K64" s="207">
        <f t="shared" si="18"/>
        <v>0</v>
      </c>
      <c r="L64" s="211">
        <f t="shared" si="19"/>
        <v>0</v>
      </c>
      <c r="M64" s="205"/>
      <c r="N64" s="206"/>
    </row>
    <row r="65" spans="3:14" hidden="1" outlineLevel="1" x14ac:dyDescent="0.2">
      <c r="C65" s="13"/>
      <c r="D65" s="19">
        <f t="shared" si="9"/>
        <v>55</v>
      </c>
      <c r="E65" s="178" t="str">
        <f>IF(OR('Services - NHC'!E64="",'Services - NHC'!E64="[Enter service]"),"",'Services - NHC'!E64)</f>
        <v/>
      </c>
      <c r="F65" s="179" t="str">
        <f>IF(OR('Services - NHC'!F64="",'Services - NHC'!F64="[Select]"),"",'Services - NHC'!F64)</f>
        <v/>
      </c>
      <c r="G65" s="191">
        <f>IF('Revenue - NHC'!V66="","",'Revenue - NHC'!V66)</f>
        <v>0</v>
      </c>
      <c r="H65" s="191">
        <f>IF('Revenue - WHC'!V66="","",'Revenue - WHC'!V66)</f>
        <v>0</v>
      </c>
      <c r="I65" s="191">
        <f>IF('Expenditure- NHC'!R65="","",'Expenditure- NHC'!R65)</f>
        <v>0</v>
      </c>
      <c r="J65" s="190">
        <f>IF('Expenditure - WHC'!R65="","",'Expenditure - WHC'!R65)</f>
        <v>0</v>
      </c>
      <c r="K65" s="207">
        <f t="shared" si="18"/>
        <v>0</v>
      </c>
      <c r="L65" s="211">
        <f t="shared" si="19"/>
        <v>0</v>
      </c>
      <c r="M65" s="205"/>
      <c r="N65" s="206"/>
    </row>
    <row r="66" spans="3:14" hidden="1" outlineLevel="1" x14ac:dyDescent="0.2">
      <c r="C66" s="13"/>
      <c r="D66" s="19">
        <f t="shared" si="9"/>
        <v>56</v>
      </c>
      <c r="E66" s="178" t="str">
        <f>IF(OR('Services - NHC'!E65="",'Services - NHC'!E65="[Enter service]"),"",'Services - NHC'!E65)</f>
        <v/>
      </c>
      <c r="F66" s="179" t="str">
        <f>IF(OR('Services - NHC'!F65="",'Services - NHC'!F65="[Select]"),"",'Services - NHC'!F65)</f>
        <v/>
      </c>
      <c r="G66" s="191">
        <f>IF('Revenue - NHC'!V67="","",'Revenue - NHC'!V67)</f>
        <v>0</v>
      </c>
      <c r="H66" s="191">
        <f>IF('Revenue - WHC'!V67="","",'Revenue - WHC'!V67)</f>
        <v>0</v>
      </c>
      <c r="I66" s="191">
        <f>IF('Expenditure- NHC'!R66="","",'Expenditure- NHC'!R66)</f>
        <v>0</v>
      </c>
      <c r="J66" s="190">
        <f>IF('Expenditure - WHC'!R66="","",'Expenditure - WHC'!R66)</f>
        <v>0</v>
      </c>
      <c r="K66" s="207">
        <f t="shared" si="18"/>
        <v>0</v>
      </c>
      <c r="L66" s="211">
        <f t="shared" si="19"/>
        <v>0</v>
      </c>
      <c r="M66" s="205"/>
      <c r="N66" s="206"/>
    </row>
    <row r="67" spans="3:14" hidden="1" outlineLevel="1" x14ac:dyDescent="0.2">
      <c r="C67" s="13"/>
      <c r="D67" s="85">
        <f t="shared" si="9"/>
        <v>57</v>
      </c>
      <c r="E67" s="178" t="str">
        <f>IF(OR('Services - NHC'!E66="",'Services - NHC'!E66="[Enter service]"),"",'Services - NHC'!E66)</f>
        <v/>
      </c>
      <c r="F67" s="179" t="str">
        <f>IF(OR('Services - NHC'!F66="",'Services - NHC'!F66="[Select]"),"",'Services - NHC'!F66)</f>
        <v/>
      </c>
      <c r="G67" s="191">
        <f>IF('Revenue - NHC'!V68="","",'Revenue - NHC'!V68)</f>
        <v>0</v>
      </c>
      <c r="H67" s="191">
        <f>IF('Revenue - WHC'!V68="","",'Revenue - WHC'!V68)</f>
        <v>0</v>
      </c>
      <c r="I67" s="191">
        <f>IF('Expenditure- NHC'!R67="","",'Expenditure- NHC'!R67)</f>
        <v>0</v>
      </c>
      <c r="J67" s="190">
        <f>IF('Expenditure - WHC'!R67="","",'Expenditure - WHC'!R67)</f>
        <v>0</v>
      </c>
      <c r="K67" s="207">
        <f t="shared" si="18"/>
        <v>0</v>
      </c>
      <c r="L67" s="211">
        <f t="shared" si="19"/>
        <v>0</v>
      </c>
      <c r="M67" s="205"/>
      <c r="N67" s="206"/>
    </row>
    <row r="68" spans="3:14" hidden="1" outlineLevel="1" x14ac:dyDescent="0.2">
      <c r="C68" s="13"/>
      <c r="D68" s="19">
        <f t="shared" si="9"/>
        <v>58</v>
      </c>
      <c r="E68" s="178" t="str">
        <f>IF(OR('Services - NHC'!E67="",'Services - NHC'!E67="[Enter service]"),"",'Services - NHC'!E67)</f>
        <v/>
      </c>
      <c r="F68" s="179" t="str">
        <f>IF(OR('Services - NHC'!F67="",'Services - NHC'!F67="[Select]"),"",'Services - NHC'!F67)</f>
        <v/>
      </c>
      <c r="G68" s="191">
        <f>IF('Revenue - NHC'!V69="","",'Revenue - NHC'!V69)</f>
        <v>0</v>
      </c>
      <c r="H68" s="191">
        <f>IF('Revenue - WHC'!V69="","",'Revenue - WHC'!V69)</f>
        <v>0</v>
      </c>
      <c r="I68" s="191">
        <f>IF('Expenditure- NHC'!R68="","",'Expenditure- NHC'!R68)</f>
        <v>0</v>
      </c>
      <c r="J68" s="190">
        <f>IF('Expenditure - WHC'!R68="","",'Expenditure - WHC'!R68)</f>
        <v>0</v>
      </c>
      <c r="K68" s="207">
        <f t="shared" si="18"/>
        <v>0</v>
      </c>
      <c r="L68" s="211">
        <f t="shared" si="19"/>
        <v>0</v>
      </c>
      <c r="M68" s="205"/>
      <c r="N68" s="206"/>
    </row>
    <row r="69" spans="3:14" hidden="1" outlineLevel="1" x14ac:dyDescent="0.2">
      <c r="C69" s="13"/>
      <c r="D69" s="19">
        <f t="shared" si="9"/>
        <v>59</v>
      </c>
      <c r="E69" s="178" t="str">
        <f>IF(OR('Services - NHC'!E68="",'Services - NHC'!E68="[Enter service]"),"",'Services - NHC'!E68)</f>
        <v/>
      </c>
      <c r="F69" s="179" t="str">
        <f>IF(OR('Services - NHC'!F68="",'Services - NHC'!F68="[Select]"),"",'Services - NHC'!F68)</f>
        <v/>
      </c>
      <c r="G69" s="191">
        <f>IF('Revenue - NHC'!V70="","",'Revenue - NHC'!V70)</f>
        <v>0</v>
      </c>
      <c r="H69" s="191">
        <f>IF('Revenue - WHC'!V70="","",'Revenue - WHC'!V70)</f>
        <v>0</v>
      </c>
      <c r="I69" s="191">
        <f>IF('Expenditure- NHC'!R69="","",'Expenditure- NHC'!R69)</f>
        <v>0</v>
      </c>
      <c r="J69" s="190">
        <f>IF('Expenditure - WHC'!R69="","",'Expenditure - WHC'!R69)</f>
        <v>0</v>
      </c>
      <c r="K69" s="207">
        <f t="shared" si="18"/>
        <v>0</v>
      </c>
      <c r="L69" s="211">
        <f t="shared" si="19"/>
        <v>0</v>
      </c>
      <c r="M69" s="205"/>
      <c r="N69" s="206"/>
    </row>
    <row r="70" spans="3:14" hidden="1" outlineLevel="1" x14ac:dyDescent="0.2">
      <c r="C70" s="13"/>
      <c r="D70" s="19">
        <f t="shared" si="9"/>
        <v>60</v>
      </c>
      <c r="E70" s="178" t="str">
        <f>IF(OR('Services - NHC'!E69="",'Services - NHC'!E69="[Enter service]"),"",'Services - NHC'!E69)</f>
        <v/>
      </c>
      <c r="F70" s="179" t="str">
        <f>IF(OR('Services - NHC'!F69="",'Services - NHC'!F69="[Select]"),"",'Services - NHC'!F69)</f>
        <v/>
      </c>
      <c r="G70" s="191">
        <f>IF('Revenue - NHC'!V71="","",'Revenue - NHC'!V71)</f>
        <v>0</v>
      </c>
      <c r="H70" s="191">
        <f>IF('Revenue - WHC'!V71="","",'Revenue - WHC'!V71)</f>
        <v>0</v>
      </c>
      <c r="I70" s="191">
        <f>IF('Expenditure- NHC'!R70="","",'Expenditure- NHC'!R70)</f>
        <v>0</v>
      </c>
      <c r="J70" s="190">
        <f>IF('Expenditure - WHC'!R70="","",'Expenditure - WHC'!R70)</f>
        <v>0</v>
      </c>
      <c r="K70" s="207">
        <f t="shared" si="18"/>
        <v>0</v>
      </c>
      <c r="L70" s="211">
        <f t="shared" si="19"/>
        <v>0</v>
      </c>
      <c r="M70" s="205"/>
      <c r="N70" s="206"/>
    </row>
    <row r="71" spans="3:14" hidden="1" outlineLevel="1" x14ac:dyDescent="0.2">
      <c r="C71" s="13"/>
      <c r="D71" s="85">
        <f t="shared" si="9"/>
        <v>61</v>
      </c>
      <c r="E71" s="178" t="str">
        <f>IF(OR('Services - NHC'!E70="",'Services - NHC'!E70="[Enter service]"),"",'Services - NHC'!E70)</f>
        <v/>
      </c>
      <c r="F71" s="179" t="str">
        <f>IF(OR('Services - NHC'!F70="",'Services - NHC'!F70="[Select]"),"",'Services - NHC'!F70)</f>
        <v/>
      </c>
      <c r="G71" s="191">
        <f>IF('Revenue - NHC'!V72="","",'Revenue - NHC'!V72)</f>
        <v>0</v>
      </c>
      <c r="H71" s="191">
        <f>IF('Revenue - WHC'!V72="","",'Revenue - WHC'!V72)</f>
        <v>0</v>
      </c>
      <c r="I71" s="191">
        <f>IF('Expenditure- NHC'!R71="","",'Expenditure- NHC'!R71)</f>
        <v>0</v>
      </c>
      <c r="J71" s="190">
        <f>IF('Expenditure - WHC'!R71="","",'Expenditure - WHC'!R71)</f>
        <v>0</v>
      </c>
      <c r="K71" s="207">
        <f t="shared" si="18"/>
        <v>0</v>
      </c>
      <c r="L71" s="211">
        <f t="shared" si="19"/>
        <v>0</v>
      </c>
      <c r="M71" s="205"/>
      <c r="N71" s="206"/>
    </row>
    <row r="72" spans="3:14" hidden="1" outlineLevel="1" x14ac:dyDescent="0.2">
      <c r="C72" s="13"/>
      <c r="D72" s="19">
        <f t="shared" si="9"/>
        <v>62</v>
      </c>
      <c r="E72" s="178" t="str">
        <f>IF(OR('Services - NHC'!E71="",'Services - NHC'!E71="[Enter service]"),"",'Services - NHC'!E71)</f>
        <v/>
      </c>
      <c r="F72" s="179" t="str">
        <f>IF(OR('Services - NHC'!F71="",'Services - NHC'!F71="[Select]"),"",'Services - NHC'!F71)</f>
        <v/>
      </c>
      <c r="G72" s="191">
        <f>IF('Revenue - NHC'!V73="","",'Revenue - NHC'!V73)</f>
        <v>0</v>
      </c>
      <c r="H72" s="191">
        <f>IF('Revenue - WHC'!V73="","",'Revenue - WHC'!V73)</f>
        <v>0</v>
      </c>
      <c r="I72" s="191">
        <f>IF('Expenditure- NHC'!R72="","",'Expenditure- NHC'!R72)</f>
        <v>0</v>
      </c>
      <c r="J72" s="190">
        <f>IF('Expenditure - WHC'!R72="","",'Expenditure - WHC'!R72)</f>
        <v>0</v>
      </c>
      <c r="K72" s="207">
        <f t="shared" si="18"/>
        <v>0</v>
      </c>
      <c r="L72" s="211">
        <f t="shared" si="19"/>
        <v>0</v>
      </c>
      <c r="M72" s="205"/>
      <c r="N72" s="206"/>
    </row>
    <row r="73" spans="3:14" hidden="1" outlineLevel="1" x14ac:dyDescent="0.2">
      <c r="C73" s="13"/>
      <c r="D73" s="19">
        <f t="shared" si="9"/>
        <v>63</v>
      </c>
      <c r="E73" s="178" t="str">
        <f>IF(OR('Services - NHC'!E72="",'Services - NHC'!E72="[Enter service]"),"",'Services - NHC'!E72)</f>
        <v/>
      </c>
      <c r="F73" s="179" t="str">
        <f>IF(OR('Services - NHC'!F72="",'Services - NHC'!F72="[Select]"),"",'Services - NHC'!F72)</f>
        <v/>
      </c>
      <c r="G73" s="191">
        <f>IF('Revenue - NHC'!V74="","",'Revenue - NHC'!V74)</f>
        <v>0</v>
      </c>
      <c r="H73" s="191">
        <f>IF('Revenue - WHC'!V74="","",'Revenue - WHC'!V74)</f>
        <v>0</v>
      </c>
      <c r="I73" s="191">
        <f>IF('Expenditure- NHC'!R73="","",'Expenditure- NHC'!R73)</f>
        <v>0</v>
      </c>
      <c r="J73" s="190">
        <f>IF('Expenditure - WHC'!R73="","",'Expenditure - WHC'!R73)</f>
        <v>0</v>
      </c>
      <c r="K73" s="207">
        <f t="shared" si="18"/>
        <v>0</v>
      </c>
      <c r="L73" s="211">
        <f t="shared" si="19"/>
        <v>0</v>
      </c>
      <c r="M73" s="205"/>
      <c r="N73" s="206"/>
    </row>
    <row r="74" spans="3:14" hidden="1" outlineLevel="1" x14ac:dyDescent="0.2">
      <c r="C74" s="13"/>
      <c r="D74" s="19">
        <f t="shared" si="9"/>
        <v>64</v>
      </c>
      <c r="E74" s="178" t="str">
        <f>IF(OR('Services - NHC'!E73="",'Services - NHC'!E73="[Enter service]"),"",'Services - NHC'!E73)</f>
        <v/>
      </c>
      <c r="F74" s="179" t="str">
        <f>IF(OR('Services - NHC'!F73="",'Services - NHC'!F73="[Select]"),"",'Services - NHC'!F73)</f>
        <v/>
      </c>
      <c r="G74" s="191">
        <f>IF('Revenue - NHC'!V75="","",'Revenue - NHC'!V75)</f>
        <v>0</v>
      </c>
      <c r="H74" s="191">
        <f>IF('Revenue - WHC'!V75="","",'Revenue - WHC'!V75)</f>
        <v>0</v>
      </c>
      <c r="I74" s="191">
        <f>IF('Expenditure- NHC'!R74="","",'Expenditure- NHC'!R74)</f>
        <v>0</v>
      </c>
      <c r="J74" s="190">
        <f>IF('Expenditure - WHC'!R74="","",'Expenditure - WHC'!R74)</f>
        <v>0</v>
      </c>
      <c r="K74" s="207">
        <f t="shared" si="18"/>
        <v>0</v>
      </c>
      <c r="L74" s="211">
        <f t="shared" si="19"/>
        <v>0</v>
      </c>
      <c r="M74" s="205"/>
      <c r="N74" s="206"/>
    </row>
    <row r="75" spans="3:14" hidden="1" outlineLevel="1" x14ac:dyDescent="0.2">
      <c r="C75" s="13"/>
      <c r="D75" s="85">
        <f t="shared" si="9"/>
        <v>65</v>
      </c>
      <c r="E75" s="178" t="str">
        <f>IF(OR('Services - NHC'!E74="",'Services - NHC'!E74="[Enter service]"),"",'Services - NHC'!E74)</f>
        <v/>
      </c>
      <c r="F75" s="179" t="str">
        <f>IF(OR('Services - NHC'!F74="",'Services - NHC'!F74="[Select]"),"",'Services - NHC'!F74)</f>
        <v/>
      </c>
      <c r="G75" s="191">
        <f>IF('Revenue - NHC'!V76="","",'Revenue - NHC'!V76)</f>
        <v>0</v>
      </c>
      <c r="H75" s="191">
        <f>IF('Revenue - WHC'!V76="","",'Revenue - WHC'!V76)</f>
        <v>0</v>
      </c>
      <c r="I75" s="191">
        <f>IF('Expenditure- NHC'!R75="","",'Expenditure- NHC'!R75)</f>
        <v>0</v>
      </c>
      <c r="J75" s="190">
        <f>IF('Expenditure - WHC'!R75="","",'Expenditure - WHC'!R75)</f>
        <v>0</v>
      </c>
      <c r="K75" s="207">
        <f t="shared" si="18"/>
        <v>0</v>
      </c>
      <c r="L75" s="211">
        <f t="shared" si="19"/>
        <v>0</v>
      </c>
      <c r="M75" s="205"/>
      <c r="N75" s="206"/>
    </row>
    <row r="76" spans="3:14" hidden="1" outlineLevel="1" x14ac:dyDescent="0.2">
      <c r="C76" s="13"/>
      <c r="D76" s="19">
        <f t="shared" si="9"/>
        <v>66</v>
      </c>
      <c r="E76" s="178" t="str">
        <f>IF(OR('Services - NHC'!E75="",'Services - NHC'!E75="[Enter service]"),"",'Services - NHC'!E75)</f>
        <v/>
      </c>
      <c r="F76" s="179" t="str">
        <f>IF(OR('Services - NHC'!F75="",'Services - NHC'!F75="[Select]"),"",'Services - NHC'!F75)</f>
        <v/>
      </c>
      <c r="G76" s="191">
        <f>IF('Revenue - NHC'!V77="","",'Revenue - NHC'!V77)</f>
        <v>0</v>
      </c>
      <c r="H76" s="191">
        <f>IF('Revenue - WHC'!V77="","",'Revenue - WHC'!V77)</f>
        <v>0</v>
      </c>
      <c r="I76" s="191">
        <f>IF('Expenditure- NHC'!R76="","",'Expenditure- NHC'!R76)</f>
        <v>0</v>
      </c>
      <c r="J76" s="190">
        <f>IF('Expenditure - WHC'!R76="","",'Expenditure - WHC'!R76)</f>
        <v>0</v>
      </c>
      <c r="K76" s="207">
        <f t="shared" si="18"/>
        <v>0</v>
      </c>
      <c r="L76" s="211">
        <f t="shared" si="19"/>
        <v>0</v>
      </c>
      <c r="M76" s="205"/>
      <c r="N76" s="206"/>
    </row>
    <row r="77" spans="3:14" hidden="1" outlineLevel="1" x14ac:dyDescent="0.2">
      <c r="C77" s="13"/>
      <c r="D77" s="19">
        <f t="shared" si="9"/>
        <v>67</v>
      </c>
      <c r="E77" s="178" t="str">
        <f>IF(OR('Services - NHC'!E76="",'Services - NHC'!E76="[Enter service]"),"",'Services - NHC'!E76)</f>
        <v/>
      </c>
      <c r="F77" s="179" t="str">
        <f>IF(OR('Services - NHC'!F76="",'Services - NHC'!F76="[Select]"),"",'Services - NHC'!F76)</f>
        <v/>
      </c>
      <c r="G77" s="191">
        <f>IF('Revenue - NHC'!V78="","",'Revenue - NHC'!V78)</f>
        <v>0</v>
      </c>
      <c r="H77" s="191">
        <f>IF('Revenue - WHC'!V78="","",'Revenue - WHC'!V78)</f>
        <v>0</v>
      </c>
      <c r="I77" s="191">
        <f>IF('Expenditure- NHC'!R77="","",'Expenditure- NHC'!R77)</f>
        <v>0</v>
      </c>
      <c r="J77" s="190">
        <f>IF('Expenditure - WHC'!R77="","",'Expenditure - WHC'!R77)</f>
        <v>0</v>
      </c>
      <c r="K77" s="207">
        <f t="shared" si="18"/>
        <v>0</v>
      </c>
      <c r="L77" s="211">
        <f t="shared" si="19"/>
        <v>0</v>
      </c>
      <c r="M77" s="205"/>
      <c r="N77" s="206"/>
    </row>
    <row r="78" spans="3:14" hidden="1" outlineLevel="1" x14ac:dyDescent="0.2">
      <c r="C78" s="13"/>
      <c r="D78" s="85">
        <f t="shared" si="9"/>
        <v>68</v>
      </c>
      <c r="E78" s="178" t="str">
        <f>IF(OR('Services - NHC'!E77="",'Services - NHC'!E77="[Enter service]"),"",'Services - NHC'!E77)</f>
        <v/>
      </c>
      <c r="F78" s="179" t="str">
        <f>IF(OR('Services - NHC'!F77="",'Services - NHC'!F77="[Select]"),"",'Services - NHC'!F77)</f>
        <v/>
      </c>
      <c r="G78" s="191">
        <f>IF('Revenue - NHC'!V79="","",'Revenue - NHC'!V79)</f>
        <v>0</v>
      </c>
      <c r="H78" s="191">
        <f>IF('Revenue - WHC'!V79="","",'Revenue - WHC'!V79)</f>
        <v>0</v>
      </c>
      <c r="I78" s="191">
        <f>IF('Expenditure- NHC'!R78="","",'Expenditure- NHC'!R78)</f>
        <v>0</v>
      </c>
      <c r="J78" s="190">
        <f>IF('Expenditure - WHC'!R78="","",'Expenditure - WHC'!R78)</f>
        <v>0</v>
      </c>
      <c r="K78" s="207">
        <f t="shared" si="18"/>
        <v>0</v>
      </c>
      <c r="L78" s="211">
        <f t="shared" si="19"/>
        <v>0</v>
      </c>
      <c r="M78" s="205"/>
      <c r="N78" s="206"/>
    </row>
    <row r="79" spans="3:14" hidden="1" outlineLevel="1" x14ac:dyDescent="0.2">
      <c r="C79" s="13"/>
      <c r="D79" s="19">
        <f t="shared" si="9"/>
        <v>69</v>
      </c>
      <c r="E79" s="178" t="str">
        <f>IF(OR('Services - NHC'!E78="",'Services - NHC'!E78="[Enter service]"),"",'Services - NHC'!E78)</f>
        <v/>
      </c>
      <c r="F79" s="179" t="str">
        <f>IF(OR('Services - NHC'!F78="",'Services - NHC'!F78="[Select]"),"",'Services - NHC'!F78)</f>
        <v/>
      </c>
      <c r="G79" s="191">
        <f>IF('Revenue - NHC'!V80="","",'Revenue - NHC'!V80)</f>
        <v>0</v>
      </c>
      <c r="H79" s="191">
        <f>IF('Revenue - WHC'!V80="","",'Revenue - WHC'!V80)</f>
        <v>0</v>
      </c>
      <c r="I79" s="191">
        <f>IF('Expenditure- NHC'!R79="","",'Expenditure- NHC'!R79)</f>
        <v>0</v>
      </c>
      <c r="J79" s="190">
        <f>IF('Expenditure - WHC'!R79="","",'Expenditure - WHC'!R79)</f>
        <v>0</v>
      </c>
      <c r="K79" s="207">
        <f t="shared" si="18"/>
        <v>0</v>
      </c>
      <c r="L79" s="211">
        <f t="shared" si="19"/>
        <v>0</v>
      </c>
      <c r="M79" s="205"/>
      <c r="N79" s="206"/>
    </row>
    <row r="80" spans="3:14" hidden="1" outlineLevel="1" x14ac:dyDescent="0.2">
      <c r="C80" s="13"/>
      <c r="D80" s="19">
        <f t="shared" ref="D80:D143" si="21">D79+1</f>
        <v>70</v>
      </c>
      <c r="E80" s="178" t="str">
        <f>IF(OR('Services - NHC'!E79="",'Services - NHC'!E79="[Enter service]"),"",'Services - NHC'!E79)</f>
        <v/>
      </c>
      <c r="F80" s="179" t="str">
        <f>IF(OR('Services - NHC'!F79="",'Services - NHC'!F79="[Select]"),"",'Services - NHC'!F79)</f>
        <v/>
      </c>
      <c r="G80" s="191">
        <f>IF('Revenue - NHC'!V81="","",'Revenue - NHC'!V81)</f>
        <v>0</v>
      </c>
      <c r="H80" s="191">
        <f>IF('Revenue - WHC'!V81="","",'Revenue - WHC'!V81)</f>
        <v>0</v>
      </c>
      <c r="I80" s="191">
        <f>IF('Expenditure- NHC'!R80="","",'Expenditure- NHC'!R80)</f>
        <v>0</v>
      </c>
      <c r="J80" s="190">
        <f>IF('Expenditure - WHC'!R80="","",'Expenditure - WHC'!R80)</f>
        <v>0</v>
      </c>
      <c r="K80" s="207">
        <f t="shared" si="18"/>
        <v>0</v>
      </c>
      <c r="L80" s="211">
        <f t="shared" si="19"/>
        <v>0</v>
      </c>
      <c r="M80" s="205"/>
      <c r="N80" s="206"/>
    </row>
    <row r="81" spans="3:14" hidden="1" outlineLevel="1" x14ac:dyDescent="0.2">
      <c r="C81" s="13"/>
      <c r="D81" s="19">
        <f t="shared" si="21"/>
        <v>71</v>
      </c>
      <c r="E81" s="178" t="str">
        <f>IF(OR('Services - NHC'!E80="",'Services - NHC'!E80="[Enter service]"),"",'Services - NHC'!E80)</f>
        <v/>
      </c>
      <c r="F81" s="179" t="str">
        <f>IF(OR('Services - NHC'!F80="",'Services - NHC'!F80="[Select]"),"",'Services - NHC'!F80)</f>
        <v/>
      </c>
      <c r="G81" s="191">
        <f>IF('Revenue - NHC'!V82="","",'Revenue - NHC'!V82)</f>
        <v>0</v>
      </c>
      <c r="H81" s="191">
        <f>IF('Revenue - WHC'!V82="","",'Revenue - WHC'!V82)</f>
        <v>0</v>
      </c>
      <c r="I81" s="191">
        <f>IF('Expenditure- NHC'!R81="","",'Expenditure- NHC'!R81)</f>
        <v>0</v>
      </c>
      <c r="J81" s="190">
        <f>IF('Expenditure - WHC'!R81="","",'Expenditure - WHC'!R81)</f>
        <v>0</v>
      </c>
      <c r="K81" s="207">
        <f t="shared" si="18"/>
        <v>0</v>
      </c>
      <c r="L81" s="211">
        <f t="shared" si="19"/>
        <v>0</v>
      </c>
      <c r="M81" s="205"/>
      <c r="N81" s="206"/>
    </row>
    <row r="82" spans="3:14" hidden="1" outlineLevel="1" x14ac:dyDescent="0.2">
      <c r="C82" s="13"/>
      <c r="D82" s="85">
        <f t="shared" si="21"/>
        <v>72</v>
      </c>
      <c r="E82" s="178" t="str">
        <f>IF(OR('Services - NHC'!E81="",'Services - NHC'!E81="[Enter service]"),"",'Services - NHC'!E81)</f>
        <v/>
      </c>
      <c r="F82" s="179" t="str">
        <f>IF(OR('Services - NHC'!F81="",'Services - NHC'!F81="[Select]"),"",'Services - NHC'!F81)</f>
        <v/>
      </c>
      <c r="G82" s="191">
        <f>IF('Revenue - NHC'!V83="","",'Revenue - NHC'!V83)</f>
        <v>0</v>
      </c>
      <c r="H82" s="191">
        <f>IF('Revenue - WHC'!V83="","",'Revenue - WHC'!V83)</f>
        <v>0</v>
      </c>
      <c r="I82" s="191">
        <f>IF('Expenditure- NHC'!R82="","",'Expenditure- NHC'!R82)</f>
        <v>0</v>
      </c>
      <c r="J82" s="190">
        <f>IF('Expenditure - WHC'!R82="","",'Expenditure - WHC'!R82)</f>
        <v>0</v>
      </c>
      <c r="K82" s="207">
        <f t="shared" si="18"/>
        <v>0</v>
      </c>
      <c r="L82" s="211">
        <f t="shared" si="19"/>
        <v>0</v>
      </c>
      <c r="M82" s="205"/>
      <c r="N82" s="206"/>
    </row>
    <row r="83" spans="3:14" hidden="1" outlineLevel="1" x14ac:dyDescent="0.2">
      <c r="C83" s="13"/>
      <c r="D83" s="19">
        <f t="shared" si="21"/>
        <v>73</v>
      </c>
      <c r="E83" s="178" t="str">
        <f>IF(OR('Services - NHC'!E82="",'Services - NHC'!E82="[Enter service]"),"",'Services - NHC'!E82)</f>
        <v/>
      </c>
      <c r="F83" s="179" t="str">
        <f>IF(OR('Services - NHC'!F82="",'Services - NHC'!F82="[Select]"),"",'Services - NHC'!F82)</f>
        <v/>
      </c>
      <c r="G83" s="191">
        <f>IF('Revenue - NHC'!V84="","",'Revenue - NHC'!V84)</f>
        <v>0</v>
      </c>
      <c r="H83" s="191">
        <f>IF('Revenue - WHC'!V84="","",'Revenue - WHC'!V84)</f>
        <v>0</v>
      </c>
      <c r="I83" s="191">
        <f>IF('Expenditure- NHC'!R83="","",'Expenditure- NHC'!R83)</f>
        <v>0</v>
      </c>
      <c r="J83" s="190">
        <f>IF('Expenditure - WHC'!R83="","",'Expenditure - WHC'!R83)</f>
        <v>0</v>
      </c>
      <c r="K83" s="207">
        <f t="shared" si="18"/>
        <v>0</v>
      </c>
      <c r="L83" s="211">
        <f t="shared" si="19"/>
        <v>0</v>
      </c>
      <c r="M83" s="205"/>
      <c r="N83" s="206"/>
    </row>
    <row r="84" spans="3:14" hidden="1" outlineLevel="1" x14ac:dyDescent="0.2">
      <c r="C84" s="13"/>
      <c r="D84" s="19">
        <f t="shared" si="21"/>
        <v>74</v>
      </c>
      <c r="E84" s="178" t="str">
        <f>IF(OR('Services - NHC'!E83="",'Services - NHC'!E83="[Enter service]"),"",'Services - NHC'!E83)</f>
        <v/>
      </c>
      <c r="F84" s="179" t="str">
        <f>IF(OR('Services - NHC'!F83="",'Services - NHC'!F83="[Select]"),"",'Services - NHC'!F83)</f>
        <v/>
      </c>
      <c r="G84" s="191">
        <f>IF('Revenue - NHC'!V85="","",'Revenue - NHC'!V85)</f>
        <v>0</v>
      </c>
      <c r="H84" s="191">
        <f>IF('Revenue - WHC'!V85="","",'Revenue - WHC'!V85)</f>
        <v>0</v>
      </c>
      <c r="I84" s="191">
        <f>IF('Expenditure- NHC'!R84="","",'Expenditure- NHC'!R84)</f>
        <v>0</v>
      </c>
      <c r="J84" s="190">
        <f>IF('Expenditure - WHC'!R84="","",'Expenditure - WHC'!R84)</f>
        <v>0</v>
      </c>
      <c r="K84" s="207">
        <f t="shared" si="18"/>
        <v>0</v>
      </c>
      <c r="L84" s="211">
        <f t="shared" si="19"/>
        <v>0</v>
      </c>
      <c r="M84" s="205"/>
      <c r="N84" s="206"/>
    </row>
    <row r="85" spans="3:14" hidden="1" outlineLevel="1" x14ac:dyDescent="0.2">
      <c r="C85" s="13"/>
      <c r="D85" s="19">
        <f t="shared" si="21"/>
        <v>75</v>
      </c>
      <c r="E85" s="178" t="str">
        <f>IF(OR('Services - NHC'!E84="",'Services - NHC'!E84="[Enter service]"),"",'Services - NHC'!E84)</f>
        <v/>
      </c>
      <c r="F85" s="179" t="str">
        <f>IF(OR('Services - NHC'!F84="",'Services - NHC'!F84="[Select]"),"",'Services - NHC'!F84)</f>
        <v/>
      </c>
      <c r="G85" s="191">
        <f>IF('Revenue - NHC'!V86="","",'Revenue - NHC'!V86)</f>
        <v>0</v>
      </c>
      <c r="H85" s="191">
        <f>IF('Revenue - WHC'!V86="","",'Revenue - WHC'!V86)</f>
        <v>0</v>
      </c>
      <c r="I85" s="191">
        <f>IF('Expenditure- NHC'!R85="","",'Expenditure- NHC'!R85)</f>
        <v>0</v>
      </c>
      <c r="J85" s="190">
        <f>IF('Expenditure - WHC'!R85="","",'Expenditure - WHC'!R85)</f>
        <v>0</v>
      </c>
      <c r="K85" s="207">
        <f t="shared" si="18"/>
        <v>0</v>
      </c>
      <c r="L85" s="211">
        <f t="shared" si="19"/>
        <v>0</v>
      </c>
      <c r="M85" s="205"/>
      <c r="N85" s="206"/>
    </row>
    <row r="86" spans="3:14" hidden="1" outlineLevel="1" x14ac:dyDescent="0.2">
      <c r="C86" s="13"/>
      <c r="D86" s="85">
        <f t="shared" si="21"/>
        <v>76</v>
      </c>
      <c r="E86" s="178" t="str">
        <f>IF(OR('Services - NHC'!E85="",'Services - NHC'!E85="[Enter service]"),"",'Services - NHC'!E85)</f>
        <v/>
      </c>
      <c r="F86" s="179" t="str">
        <f>IF(OR('Services - NHC'!F85="",'Services - NHC'!F85="[Select]"),"",'Services - NHC'!F85)</f>
        <v/>
      </c>
      <c r="G86" s="191">
        <f>IF('Revenue - NHC'!V87="","",'Revenue - NHC'!V87)</f>
        <v>0</v>
      </c>
      <c r="H86" s="191">
        <f>IF('Revenue - WHC'!V87="","",'Revenue - WHC'!V87)</f>
        <v>0</v>
      </c>
      <c r="I86" s="191">
        <f>IF('Expenditure- NHC'!R86="","",'Expenditure- NHC'!R86)</f>
        <v>0</v>
      </c>
      <c r="J86" s="190">
        <f>IF('Expenditure - WHC'!R86="","",'Expenditure - WHC'!R86)</f>
        <v>0</v>
      </c>
      <c r="K86" s="207">
        <f t="shared" si="18"/>
        <v>0</v>
      </c>
      <c r="L86" s="211">
        <f t="shared" si="19"/>
        <v>0</v>
      </c>
      <c r="M86" s="205"/>
      <c r="N86" s="206"/>
    </row>
    <row r="87" spans="3:14" hidden="1" outlineLevel="1" x14ac:dyDescent="0.2">
      <c r="C87" s="13"/>
      <c r="D87" s="19">
        <f t="shared" si="21"/>
        <v>77</v>
      </c>
      <c r="E87" s="178" t="str">
        <f>IF(OR('Services - NHC'!E86="",'Services - NHC'!E86="[Enter service]"),"",'Services - NHC'!E86)</f>
        <v/>
      </c>
      <c r="F87" s="179" t="str">
        <f>IF(OR('Services - NHC'!F86="",'Services - NHC'!F86="[Select]"),"",'Services - NHC'!F86)</f>
        <v/>
      </c>
      <c r="G87" s="191">
        <f>IF('Revenue - NHC'!V88="","",'Revenue - NHC'!V88)</f>
        <v>0</v>
      </c>
      <c r="H87" s="191">
        <f>IF('Revenue - WHC'!V88="","",'Revenue - WHC'!V88)</f>
        <v>0</v>
      </c>
      <c r="I87" s="191">
        <f>IF('Expenditure- NHC'!R87="","",'Expenditure- NHC'!R87)</f>
        <v>0</v>
      </c>
      <c r="J87" s="190">
        <f>IF('Expenditure - WHC'!R87="","",'Expenditure - WHC'!R87)</f>
        <v>0</v>
      </c>
      <c r="K87" s="207">
        <f t="shared" si="18"/>
        <v>0</v>
      </c>
      <c r="L87" s="211">
        <f t="shared" si="19"/>
        <v>0</v>
      </c>
      <c r="M87" s="205"/>
      <c r="N87" s="206"/>
    </row>
    <row r="88" spans="3:14" hidden="1" outlineLevel="1" x14ac:dyDescent="0.2">
      <c r="C88" s="13"/>
      <c r="D88" s="19">
        <f t="shared" si="21"/>
        <v>78</v>
      </c>
      <c r="E88" s="178" t="str">
        <f>IF(OR('Services - NHC'!E87="",'Services - NHC'!E87="[Enter service]"),"",'Services - NHC'!E87)</f>
        <v/>
      </c>
      <c r="F88" s="179" t="str">
        <f>IF(OR('Services - NHC'!F87="",'Services - NHC'!F87="[Select]"),"",'Services - NHC'!F87)</f>
        <v/>
      </c>
      <c r="G88" s="191">
        <f>IF('Revenue - NHC'!V89="","",'Revenue - NHC'!V89)</f>
        <v>0</v>
      </c>
      <c r="H88" s="191">
        <f>IF('Revenue - WHC'!V89="","",'Revenue - WHC'!V89)</f>
        <v>0</v>
      </c>
      <c r="I88" s="191">
        <f>IF('Expenditure- NHC'!R88="","",'Expenditure- NHC'!R88)</f>
        <v>0</v>
      </c>
      <c r="J88" s="190">
        <f>IF('Expenditure - WHC'!R88="","",'Expenditure - WHC'!R88)</f>
        <v>0</v>
      </c>
      <c r="K88" s="207">
        <f t="shared" si="18"/>
        <v>0</v>
      </c>
      <c r="L88" s="211">
        <f t="shared" si="19"/>
        <v>0</v>
      </c>
      <c r="M88" s="205"/>
      <c r="N88" s="206"/>
    </row>
    <row r="89" spans="3:14" hidden="1" outlineLevel="1" x14ac:dyDescent="0.2">
      <c r="C89" s="13"/>
      <c r="D89" s="85">
        <f t="shared" si="21"/>
        <v>79</v>
      </c>
      <c r="E89" s="178" t="str">
        <f>IF(OR('Services - NHC'!E88="",'Services - NHC'!E88="[Enter service]"),"",'Services - NHC'!E88)</f>
        <v/>
      </c>
      <c r="F89" s="179" t="str">
        <f>IF(OR('Services - NHC'!F88="",'Services - NHC'!F88="[Select]"),"",'Services - NHC'!F88)</f>
        <v/>
      </c>
      <c r="G89" s="191">
        <f>IF('Revenue - NHC'!V90="","",'Revenue - NHC'!V90)</f>
        <v>0</v>
      </c>
      <c r="H89" s="191">
        <f>IF('Revenue - WHC'!V90="","",'Revenue - WHC'!V90)</f>
        <v>0</v>
      </c>
      <c r="I89" s="191">
        <f>IF('Expenditure- NHC'!R89="","",'Expenditure- NHC'!R89)</f>
        <v>0</v>
      </c>
      <c r="J89" s="190">
        <f>IF('Expenditure - WHC'!R89="","",'Expenditure - WHC'!R89)</f>
        <v>0</v>
      </c>
      <c r="K89" s="207">
        <f t="shared" si="18"/>
        <v>0</v>
      </c>
      <c r="L89" s="211">
        <f t="shared" si="19"/>
        <v>0</v>
      </c>
      <c r="M89" s="205"/>
      <c r="N89" s="206"/>
    </row>
    <row r="90" spans="3:14" hidden="1" outlineLevel="1" x14ac:dyDescent="0.2">
      <c r="C90" s="13"/>
      <c r="D90" s="19">
        <f t="shared" si="21"/>
        <v>80</v>
      </c>
      <c r="E90" s="178" t="str">
        <f>IF(OR('Services - NHC'!E89="",'Services - NHC'!E89="[Enter service]"),"",'Services - NHC'!E89)</f>
        <v/>
      </c>
      <c r="F90" s="179" t="str">
        <f>IF(OR('Services - NHC'!F89="",'Services - NHC'!F89="[Select]"),"",'Services - NHC'!F89)</f>
        <v/>
      </c>
      <c r="G90" s="191">
        <f>IF('Revenue - NHC'!V91="","",'Revenue - NHC'!V91)</f>
        <v>0</v>
      </c>
      <c r="H90" s="191">
        <f>IF('Revenue - WHC'!V91="","",'Revenue - WHC'!V91)</f>
        <v>0</v>
      </c>
      <c r="I90" s="191">
        <f>IF('Expenditure- NHC'!R90="","",'Expenditure- NHC'!R90)</f>
        <v>0</v>
      </c>
      <c r="J90" s="190">
        <f>IF('Expenditure - WHC'!R90="","",'Expenditure - WHC'!R90)</f>
        <v>0</v>
      </c>
      <c r="K90" s="207">
        <f t="shared" si="18"/>
        <v>0</v>
      </c>
      <c r="L90" s="211">
        <f t="shared" si="19"/>
        <v>0</v>
      </c>
      <c r="M90" s="205"/>
      <c r="N90" s="206"/>
    </row>
    <row r="91" spans="3:14" hidden="1" outlineLevel="1" x14ac:dyDescent="0.2">
      <c r="C91" s="13"/>
      <c r="D91" s="19">
        <f t="shared" si="21"/>
        <v>81</v>
      </c>
      <c r="E91" s="178" t="str">
        <f>IF(OR('Services - NHC'!E90="",'Services - NHC'!E90="[Enter service]"),"",'Services - NHC'!E90)</f>
        <v/>
      </c>
      <c r="F91" s="179" t="str">
        <f>IF(OR('Services - NHC'!F90="",'Services - NHC'!F90="[Select]"),"",'Services - NHC'!F90)</f>
        <v/>
      </c>
      <c r="G91" s="191">
        <f>IF('Revenue - NHC'!V92="","",'Revenue - NHC'!V92)</f>
        <v>0</v>
      </c>
      <c r="H91" s="191">
        <f>IF('Revenue - WHC'!V92="","",'Revenue - WHC'!V92)</f>
        <v>0</v>
      </c>
      <c r="I91" s="191">
        <f>IF('Expenditure- NHC'!R91="","",'Expenditure- NHC'!R91)</f>
        <v>0</v>
      </c>
      <c r="J91" s="190">
        <f>IF('Expenditure - WHC'!R91="","",'Expenditure - WHC'!R91)</f>
        <v>0</v>
      </c>
      <c r="K91" s="207">
        <f t="shared" si="18"/>
        <v>0</v>
      </c>
      <c r="L91" s="211">
        <f t="shared" si="19"/>
        <v>0</v>
      </c>
      <c r="M91" s="205"/>
      <c r="N91" s="206"/>
    </row>
    <row r="92" spans="3:14" hidden="1" outlineLevel="1" x14ac:dyDescent="0.2">
      <c r="C92" s="13"/>
      <c r="D92" s="19">
        <f t="shared" si="21"/>
        <v>82</v>
      </c>
      <c r="E92" s="178" t="str">
        <f>IF(OR('Services - NHC'!E91="",'Services - NHC'!E91="[Enter service]"),"",'Services - NHC'!E91)</f>
        <v/>
      </c>
      <c r="F92" s="179" t="str">
        <f>IF(OR('Services - NHC'!F91="",'Services - NHC'!F91="[Select]"),"",'Services - NHC'!F91)</f>
        <v/>
      </c>
      <c r="G92" s="191">
        <f>IF('Revenue - NHC'!V93="","",'Revenue - NHC'!V93)</f>
        <v>0</v>
      </c>
      <c r="H92" s="191">
        <f>IF('Revenue - WHC'!V93="","",'Revenue - WHC'!V93)</f>
        <v>0</v>
      </c>
      <c r="I92" s="191">
        <f>IF('Expenditure- NHC'!R92="","",'Expenditure- NHC'!R92)</f>
        <v>0</v>
      </c>
      <c r="J92" s="190">
        <f>IF('Expenditure - WHC'!R92="","",'Expenditure - WHC'!R92)</f>
        <v>0</v>
      </c>
      <c r="K92" s="207">
        <f t="shared" si="18"/>
        <v>0</v>
      </c>
      <c r="L92" s="211">
        <f t="shared" si="19"/>
        <v>0</v>
      </c>
      <c r="M92" s="205"/>
      <c r="N92" s="206"/>
    </row>
    <row r="93" spans="3:14" hidden="1" outlineLevel="1" x14ac:dyDescent="0.2">
      <c r="C93" s="13"/>
      <c r="D93" s="85">
        <f t="shared" si="21"/>
        <v>83</v>
      </c>
      <c r="E93" s="178" t="str">
        <f>IF(OR('Services - NHC'!E92="",'Services - NHC'!E92="[Enter service]"),"",'Services - NHC'!E92)</f>
        <v/>
      </c>
      <c r="F93" s="179" t="str">
        <f>IF(OR('Services - NHC'!F92="",'Services - NHC'!F92="[Select]"),"",'Services - NHC'!F92)</f>
        <v/>
      </c>
      <c r="G93" s="191">
        <f>IF('Revenue - NHC'!V94="","",'Revenue - NHC'!V94)</f>
        <v>0</v>
      </c>
      <c r="H93" s="191">
        <f>IF('Revenue - WHC'!V94="","",'Revenue - WHC'!V94)</f>
        <v>0</v>
      </c>
      <c r="I93" s="191">
        <f>IF('Expenditure- NHC'!R93="","",'Expenditure- NHC'!R93)</f>
        <v>0</v>
      </c>
      <c r="J93" s="190">
        <f>IF('Expenditure - WHC'!R93="","",'Expenditure - WHC'!R93)</f>
        <v>0</v>
      </c>
      <c r="K93" s="207">
        <f t="shared" si="18"/>
        <v>0</v>
      </c>
      <c r="L93" s="211">
        <f t="shared" si="19"/>
        <v>0</v>
      </c>
      <c r="M93" s="205"/>
      <c r="N93" s="206"/>
    </row>
    <row r="94" spans="3:14" hidden="1" outlineLevel="1" x14ac:dyDescent="0.2">
      <c r="C94" s="13"/>
      <c r="D94" s="19">
        <f t="shared" si="21"/>
        <v>84</v>
      </c>
      <c r="E94" s="178" t="str">
        <f>IF(OR('Services - NHC'!E93="",'Services - NHC'!E93="[Enter service]"),"",'Services - NHC'!E93)</f>
        <v/>
      </c>
      <c r="F94" s="179" t="str">
        <f>IF(OR('Services - NHC'!F93="",'Services - NHC'!F93="[Select]"),"",'Services - NHC'!F93)</f>
        <v/>
      </c>
      <c r="G94" s="191">
        <f>IF('Revenue - NHC'!V95="","",'Revenue - NHC'!V95)</f>
        <v>0</v>
      </c>
      <c r="H94" s="191">
        <f>IF('Revenue - WHC'!V95="","",'Revenue - WHC'!V95)</f>
        <v>0</v>
      </c>
      <c r="I94" s="191">
        <f>IF('Expenditure- NHC'!R94="","",'Expenditure- NHC'!R94)</f>
        <v>0</v>
      </c>
      <c r="J94" s="190">
        <f>IF('Expenditure - WHC'!R94="","",'Expenditure - WHC'!R94)</f>
        <v>0</v>
      </c>
      <c r="K94" s="207">
        <f t="shared" si="18"/>
        <v>0</v>
      </c>
      <c r="L94" s="211">
        <f t="shared" si="19"/>
        <v>0</v>
      </c>
      <c r="M94" s="205"/>
      <c r="N94" s="206"/>
    </row>
    <row r="95" spans="3:14" hidden="1" outlineLevel="1" x14ac:dyDescent="0.2">
      <c r="C95" s="13"/>
      <c r="D95" s="19">
        <f t="shared" si="21"/>
        <v>85</v>
      </c>
      <c r="E95" s="178" t="str">
        <f>IF(OR('Services - NHC'!E94="",'Services - NHC'!E94="[Enter service]"),"",'Services - NHC'!E94)</f>
        <v/>
      </c>
      <c r="F95" s="179" t="str">
        <f>IF(OR('Services - NHC'!F94="",'Services - NHC'!F94="[Select]"),"",'Services - NHC'!F94)</f>
        <v/>
      </c>
      <c r="G95" s="191">
        <f>IF('Revenue - NHC'!V96="","",'Revenue - NHC'!V96)</f>
        <v>0</v>
      </c>
      <c r="H95" s="191">
        <f>IF('Revenue - WHC'!V96="","",'Revenue - WHC'!V96)</f>
        <v>0</v>
      </c>
      <c r="I95" s="191">
        <f>IF('Expenditure- NHC'!R95="","",'Expenditure- NHC'!R95)</f>
        <v>0</v>
      </c>
      <c r="J95" s="190">
        <f>IF('Expenditure - WHC'!R95="","",'Expenditure - WHC'!R95)</f>
        <v>0</v>
      </c>
      <c r="K95" s="207">
        <f t="shared" ref="K95:K150" si="22">IFERROR(H95-G95,"")</f>
        <v>0</v>
      </c>
      <c r="L95" s="211">
        <f t="shared" ref="L95:L150" si="23">IFERROR(J95-I95,"")</f>
        <v>0</v>
      </c>
      <c r="M95" s="205"/>
      <c r="N95" s="206"/>
    </row>
    <row r="96" spans="3:14" hidden="1" outlineLevel="1" x14ac:dyDescent="0.2">
      <c r="C96" s="13"/>
      <c r="D96" s="19">
        <f t="shared" si="21"/>
        <v>86</v>
      </c>
      <c r="E96" s="178" t="str">
        <f>IF(OR('Services - NHC'!E95="",'Services - NHC'!E95="[Enter service]"),"",'Services - NHC'!E95)</f>
        <v/>
      </c>
      <c r="F96" s="179" t="str">
        <f>IF(OR('Services - NHC'!F95="",'Services - NHC'!F95="[Select]"),"",'Services - NHC'!F95)</f>
        <v/>
      </c>
      <c r="G96" s="191">
        <f>IF('Revenue - NHC'!V97="","",'Revenue - NHC'!V97)</f>
        <v>0</v>
      </c>
      <c r="H96" s="191">
        <f>IF('Revenue - WHC'!V97="","",'Revenue - WHC'!V97)</f>
        <v>0</v>
      </c>
      <c r="I96" s="191">
        <f>IF('Expenditure- NHC'!R96="","",'Expenditure- NHC'!R96)</f>
        <v>0</v>
      </c>
      <c r="J96" s="190">
        <f>IF('Expenditure - WHC'!R96="","",'Expenditure - WHC'!R96)</f>
        <v>0</v>
      </c>
      <c r="K96" s="207">
        <f t="shared" si="22"/>
        <v>0</v>
      </c>
      <c r="L96" s="211">
        <f t="shared" si="23"/>
        <v>0</v>
      </c>
      <c r="M96" s="205"/>
      <c r="N96" s="206"/>
    </row>
    <row r="97" spans="3:14" hidden="1" outlineLevel="1" x14ac:dyDescent="0.2">
      <c r="C97" s="13"/>
      <c r="D97" s="85">
        <f t="shared" si="21"/>
        <v>87</v>
      </c>
      <c r="E97" s="178" t="str">
        <f>IF(OR('Services - NHC'!E96="",'Services - NHC'!E96="[Enter service]"),"",'Services - NHC'!E96)</f>
        <v/>
      </c>
      <c r="F97" s="179" t="str">
        <f>IF(OR('Services - NHC'!F96="",'Services - NHC'!F96="[Select]"),"",'Services - NHC'!F96)</f>
        <v/>
      </c>
      <c r="G97" s="191">
        <f>IF('Revenue - NHC'!V98="","",'Revenue - NHC'!V98)</f>
        <v>0</v>
      </c>
      <c r="H97" s="191">
        <f>IF('Revenue - WHC'!V98="","",'Revenue - WHC'!V98)</f>
        <v>0</v>
      </c>
      <c r="I97" s="191">
        <f>IF('Expenditure- NHC'!R97="","",'Expenditure- NHC'!R97)</f>
        <v>0</v>
      </c>
      <c r="J97" s="190">
        <f>IF('Expenditure - WHC'!R97="","",'Expenditure - WHC'!R97)</f>
        <v>0</v>
      </c>
      <c r="K97" s="207">
        <f t="shared" si="22"/>
        <v>0</v>
      </c>
      <c r="L97" s="211">
        <f t="shared" si="23"/>
        <v>0</v>
      </c>
      <c r="M97" s="205"/>
      <c r="N97" s="206"/>
    </row>
    <row r="98" spans="3:14" hidden="1" outlineLevel="1" x14ac:dyDescent="0.2">
      <c r="C98" s="13"/>
      <c r="D98" s="19">
        <f t="shared" si="21"/>
        <v>88</v>
      </c>
      <c r="E98" s="178" t="str">
        <f>IF(OR('Services - NHC'!E97="",'Services - NHC'!E97="[Enter service]"),"",'Services - NHC'!E97)</f>
        <v/>
      </c>
      <c r="F98" s="179" t="str">
        <f>IF(OR('Services - NHC'!F97="",'Services - NHC'!F97="[Select]"),"",'Services - NHC'!F97)</f>
        <v/>
      </c>
      <c r="G98" s="191">
        <f>IF('Revenue - NHC'!V99="","",'Revenue - NHC'!V99)</f>
        <v>0</v>
      </c>
      <c r="H98" s="191">
        <f>IF('Revenue - WHC'!V99="","",'Revenue - WHC'!V99)</f>
        <v>0</v>
      </c>
      <c r="I98" s="191">
        <f>IF('Expenditure- NHC'!R98="","",'Expenditure- NHC'!R98)</f>
        <v>0</v>
      </c>
      <c r="J98" s="190">
        <f>IF('Expenditure - WHC'!R98="","",'Expenditure - WHC'!R98)</f>
        <v>0</v>
      </c>
      <c r="K98" s="207">
        <f t="shared" si="22"/>
        <v>0</v>
      </c>
      <c r="L98" s="211">
        <f t="shared" si="23"/>
        <v>0</v>
      </c>
      <c r="M98" s="205"/>
      <c r="N98" s="206"/>
    </row>
    <row r="99" spans="3:14" hidden="1" outlineLevel="1" x14ac:dyDescent="0.2">
      <c r="C99" s="13"/>
      <c r="D99" s="19">
        <f t="shared" si="21"/>
        <v>89</v>
      </c>
      <c r="E99" s="178" t="str">
        <f>IF(OR('Services - NHC'!E98="",'Services - NHC'!E98="[Enter service]"),"",'Services - NHC'!E98)</f>
        <v/>
      </c>
      <c r="F99" s="179" t="str">
        <f>IF(OR('Services - NHC'!F98="",'Services - NHC'!F98="[Select]"),"",'Services - NHC'!F98)</f>
        <v/>
      </c>
      <c r="G99" s="191">
        <f>IF('Revenue - NHC'!V100="","",'Revenue - NHC'!V100)</f>
        <v>0</v>
      </c>
      <c r="H99" s="191">
        <f>IF('Revenue - WHC'!V100="","",'Revenue - WHC'!V100)</f>
        <v>0</v>
      </c>
      <c r="I99" s="191">
        <f>IF('Expenditure- NHC'!R99="","",'Expenditure- NHC'!R99)</f>
        <v>0</v>
      </c>
      <c r="J99" s="190">
        <f>IF('Expenditure - WHC'!R99="","",'Expenditure - WHC'!R99)</f>
        <v>0</v>
      </c>
      <c r="K99" s="207">
        <f t="shared" si="22"/>
        <v>0</v>
      </c>
      <c r="L99" s="211">
        <f t="shared" si="23"/>
        <v>0</v>
      </c>
      <c r="M99" s="205"/>
      <c r="N99" s="206"/>
    </row>
    <row r="100" spans="3:14" hidden="1" outlineLevel="1" x14ac:dyDescent="0.2">
      <c r="C100" s="13"/>
      <c r="D100" s="85">
        <f t="shared" si="21"/>
        <v>90</v>
      </c>
      <c r="E100" s="178" t="str">
        <f>IF(OR('Services - NHC'!E99="",'Services - NHC'!E99="[Enter service]"),"",'Services - NHC'!E99)</f>
        <v/>
      </c>
      <c r="F100" s="179" t="str">
        <f>IF(OR('Services - NHC'!F99="",'Services - NHC'!F99="[Select]"),"",'Services - NHC'!F99)</f>
        <v/>
      </c>
      <c r="G100" s="191">
        <f>IF('Revenue - NHC'!V101="","",'Revenue - NHC'!V101)</f>
        <v>0</v>
      </c>
      <c r="H100" s="191">
        <f>IF('Revenue - WHC'!V101="","",'Revenue - WHC'!V101)</f>
        <v>0</v>
      </c>
      <c r="I100" s="191">
        <f>IF('Expenditure- NHC'!R100="","",'Expenditure- NHC'!R100)</f>
        <v>0</v>
      </c>
      <c r="J100" s="190">
        <f>IF('Expenditure - WHC'!R100="","",'Expenditure - WHC'!R100)</f>
        <v>0</v>
      </c>
      <c r="K100" s="207">
        <f t="shared" si="22"/>
        <v>0</v>
      </c>
      <c r="L100" s="211">
        <f t="shared" si="23"/>
        <v>0</v>
      </c>
      <c r="M100" s="205"/>
      <c r="N100" s="206"/>
    </row>
    <row r="101" spans="3:14" hidden="1" outlineLevel="1" x14ac:dyDescent="0.2">
      <c r="C101" s="13"/>
      <c r="D101" s="19">
        <f t="shared" si="21"/>
        <v>91</v>
      </c>
      <c r="E101" s="178" t="str">
        <f>IF(OR('Services - NHC'!E100="",'Services - NHC'!E100="[Enter service]"),"",'Services - NHC'!E100)</f>
        <v/>
      </c>
      <c r="F101" s="179" t="str">
        <f>IF(OR('Services - NHC'!F100="",'Services - NHC'!F100="[Select]"),"",'Services - NHC'!F100)</f>
        <v/>
      </c>
      <c r="G101" s="191">
        <f>IF('Revenue - NHC'!V102="","",'Revenue - NHC'!V102)</f>
        <v>0</v>
      </c>
      <c r="H101" s="191">
        <f>IF('Revenue - WHC'!V102="","",'Revenue - WHC'!V102)</f>
        <v>0</v>
      </c>
      <c r="I101" s="191">
        <f>IF('Expenditure- NHC'!R101="","",'Expenditure- NHC'!R101)</f>
        <v>0</v>
      </c>
      <c r="J101" s="190">
        <f>IF('Expenditure - WHC'!R101="","",'Expenditure - WHC'!R101)</f>
        <v>0</v>
      </c>
      <c r="K101" s="207">
        <f t="shared" si="22"/>
        <v>0</v>
      </c>
      <c r="L101" s="211">
        <f t="shared" si="23"/>
        <v>0</v>
      </c>
      <c r="M101" s="205"/>
      <c r="N101" s="206"/>
    </row>
    <row r="102" spans="3:14" hidden="1" outlineLevel="1" x14ac:dyDescent="0.2">
      <c r="C102" s="13"/>
      <c r="D102" s="19">
        <f t="shared" si="21"/>
        <v>92</v>
      </c>
      <c r="E102" s="178" t="str">
        <f>IF(OR('Services - NHC'!E101="",'Services - NHC'!E101="[Enter service]"),"",'Services - NHC'!E101)</f>
        <v/>
      </c>
      <c r="F102" s="179" t="str">
        <f>IF(OR('Services - NHC'!F101="",'Services - NHC'!F101="[Select]"),"",'Services - NHC'!F101)</f>
        <v/>
      </c>
      <c r="G102" s="191">
        <f>IF('Revenue - NHC'!V103="","",'Revenue - NHC'!V103)</f>
        <v>0</v>
      </c>
      <c r="H102" s="191">
        <f>IF('Revenue - WHC'!V103="","",'Revenue - WHC'!V103)</f>
        <v>0</v>
      </c>
      <c r="I102" s="191">
        <f>IF('Expenditure- NHC'!R102="","",'Expenditure- NHC'!R102)</f>
        <v>0</v>
      </c>
      <c r="J102" s="190">
        <f>IF('Expenditure - WHC'!R102="","",'Expenditure - WHC'!R102)</f>
        <v>0</v>
      </c>
      <c r="K102" s="207">
        <f t="shared" si="22"/>
        <v>0</v>
      </c>
      <c r="L102" s="211">
        <f t="shared" si="23"/>
        <v>0</v>
      </c>
      <c r="M102" s="205"/>
      <c r="N102" s="206"/>
    </row>
    <row r="103" spans="3:14" hidden="1" outlineLevel="1" x14ac:dyDescent="0.2">
      <c r="C103" s="13"/>
      <c r="D103" s="19">
        <f t="shared" si="21"/>
        <v>93</v>
      </c>
      <c r="E103" s="178" t="str">
        <f>IF(OR('Services - NHC'!E102="",'Services - NHC'!E102="[Enter service]"),"",'Services - NHC'!E102)</f>
        <v/>
      </c>
      <c r="F103" s="179" t="str">
        <f>IF(OR('Services - NHC'!F102="",'Services - NHC'!F102="[Select]"),"",'Services - NHC'!F102)</f>
        <v/>
      </c>
      <c r="G103" s="191">
        <f>IF('Revenue - NHC'!V104="","",'Revenue - NHC'!V104)</f>
        <v>0</v>
      </c>
      <c r="H103" s="191">
        <f>IF('Revenue - WHC'!V104="","",'Revenue - WHC'!V104)</f>
        <v>0</v>
      </c>
      <c r="I103" s="191">
        <f>IF('Expenditure- NHC'!R103="","",'Expenditure- NHC'!R103)</f>
        <v>0</v>
      </c>
      <c r="J103" s="190">
        <f>IF('Expenditure - WHC'!R103="","",'Expenditure - WHC'!R103)</f>
        <v>0</v>
      </c>
      <c r="K103" s="207">
        <f t="shared" si="22"/>
        <v>0</v>
      </c>
      <c r="L103" s="211">
        <f t="shared" si="23"/>
        <v>0</v>
      </c>
      <c r="M103" s="205"/>
      <c r="N103" s="206"/>
    </row>
    <row r="104" spans="3:14" hidden="1" outlineLevel="1" x14ac:dyDescent="0.2">
      <c r="C104" s="13"/>
      <c r="D104" s="85">
        <f t="shared" si="21"/>
        <v>94</v>
      </c>
      <c r="E104" s="178" t="str">
        <f>IF(OR('Services - NHC'!E103="",'Services - NHC'!E103="[Enter service]"),"",'Services - NHC'!E103)</f>
        <v/>
      </c>
      <c r="F104" s="179" t="str">
        <f>IF(OR('Services - NHC'!F103="",'Services - NHC'!F103="[Select]"),"",'Services - NHC'!F103)</f>
        <v/>
      </c>
      <c r="G104" s="191">
        <f>IF('Revenue - NHC'!V105="","",'Revenue - NHC'!V105)</f>
        <v>0</v>
      </c>
      <c r="H104" s="191">
        <f>IF('Revenue - WHC'!V105="","",'Revenue - WHC'!V105)</f>
        <v>0</v>
      </c>
      <c r="I104" s="191">
        <f>IF('Expenditure- NHC'!R104="","",'Expenditure- NHC'!R104)</f>
        <v>0</v>
      </c>
      <c r="J104" s="190">
        <f>IF('Expenditure - WHC'!R104="","",'Expenditure - WHC'!R104)</f>
        <v>0</v>
      </c>
      <c r="K104" s="207">
        <f t="shared" si="22"/>
        <v>0</v>
      </c>
      <c r="L104" s="211">
        <f t="shared" si="23"/>
        <v>0</v>
      </c>
      <c r="M104" s="205"/>
      <c r="N104" s="206"/>
    </row>
    <row r="105" spans="3:14" hidden="1" outlineLevel="1" x14ac:dyDescent="0.2">
      <c r="C105" s="13"/>
      <c r="D105" s="19">
        <f t="shared" si="21"/>
        <v>95</v>
      </c>
      <c r="E105" s="178" t="str">
        <f>IF(OR('Services - NHC'!E104="",'Services - NHC'!E104="[Enter service]"),"",'Services - NHC'!E104)</f>
        <v/>
      </c>
      <c r="F105" s="179" t="str">
        <f>IF(OR('Services - NHC'!F104="",'Services - NHC'!F104="[Select]"),"",'Services - NHC'!F104)</f>
        <v/>
      </c>
      <c r="G105" s="191">
        <f>IF('Revenue - NHC'!V106="","",'Revenue - NHC'!V106)</f>
        <v>0</v>
      </c>
      <c r="H105" s="191">
        <f>IF('Revenue - WHC'!V106="","",'Revenue - WHC'!V106)</f>
        <v>0</v>
      </c>
      <c r="I105" s="191">
        <f>IF('Expenditure- NHC'!R105="","",'Expenditure- NHC'!R105)</f>
        <v>0</v>
      </c>
      <c r="J105" s="190">
        <f>IF('Expenditure - WHC'!R105="","",'Expenditure - WHC'!R105)</f>
        <v>0</v>
      </c>
      <c r="K105" s="207">
        <f t="shared" si="22"/>
        <v>0</v>
      </c>
      <c r="L105" s="211">
        <f t="shared" si="23"/>
        <v>0</v>
      </c>
      <c r="M105" s="205"/>
      <c r="N105" s="206"/>
    </row>
    <row r="106" spans="3:14" hidden="1" outlineLevel="1" x14ac:dyDescent="0.2">
      <c r="C106" s="13"/>
      <c r="D106" s="19">
        <f t="shared" si="21"/>
        <v>96</v>
      </c>
      <c r="E106" s="178" t="str">
        <f>IF(OR('Services - NHC'!E105="",'Services - NHC'!E105="[Enter service]"),"",'Services - NHC'!E105)</f>
        <v/>
      </c>
      <c r="F106" s="179" t="str">
        <f>IF(OR('Services - NHC'!F105="",'Services - NHC'!F105="[Select]"),"",'Services - NHC'!F105)</f>
        <v/>
      </c>
      <c r="G106" s="191">
        <f>IF('Revenue - NHC'!V107="","",'Revenue - NHC'!V107)</f>
        <v>0</v>
      </c>
      <c r="H106" s="191">
        <f>IF('Revenue - WHC'!V107="","",'Revenue - WHC'!V107)</f>
        <v>0</v>
      </c>
      <c r="I106" s="191">
        <f>IF('Expenditure- NHC'!R106="","",'Expenditure- NHC'!R106)</f>
        <v>0</v>
      </c>
      <c r="J106" s="190">
        <f>IF('Expenditure - WHC'!R106="","",'Expenditure - WHC'!R106)</f>
        <v>0</v>
      </c>
      <c r="K106" s="207">
        <f t="shared" si="22"/>
        <v>0</v>
      </c>
      <c r="L106" s="211">
        <f t="shared" si="23"/>
        <v>0</v>
      </c>
      <c r="M106" s="205"/>
      <c r="N106" s="206"/>
    </row>
    <row r="107" spans="3:14" hidden="1" outlineLevel="1" x14ac:dyDescent="0.2">
      <c r="C107" s="13"/>
      <c r="D107" s="19">
        <f t="shared" si="21"/>
        <v>97</v>
      </c>
      <c r="E107" s="178" t="str">
        <f>IF(OR('Services - NHC'!E106="",'Services - NHC'!E106="[Enter service]"),"",'Services - NHC'!E106)</f>
        <v/>
      </c>
      <c r="F107" s="179" t="str">
        <f>IF(OR('Services - NHC'!F106="",'Services - NHC'!F106="[Select]"),"",'Services - NHC'!F106)</f>
        <v/>
      </c>
      <c r="G107" s="191">
        <f>IF('Revenue - NHC'!V108="","",'Revenue - NHC'!V108)</f>
        <v>0</v>
      </c>
      <c r="H107" s="191">
        <f>IF('Revenue - WHC'!V108="","",'Revenue - WHC'!V108)</f>
        <v>0</v>
      </c>
      <c r="I107" s="191">
        <f>IF('Expenditure- NHC'!R107="","",'Expenditure- NHC'!R107)</f>
        <v>0</v>
      </c>
      <c r="J107" s="190">
        <f>IF('Expenditure - WHC'!R107="","",'Expenditure - WHC'!R107)</f>
        <v>0</v>
      </c>
      <c r="K107" s="207">
        <f t="shared" si="22"/>
        <v>0</v>
      </c>
      <c r="L107" s="211">
        <f t="shared" si="23"/>
        <v>0</v>
      </c>
      <c r="M107" s="205"/>
      <c r="N107" s="206"/>
    </row>
    <row r="108" spans="3:14" hidden="1" outlineLevel="1" x14ac:dyDescent="0.2">
      <c r="C108" s="13"/>
      <c r="D108" s="85">
        <f t="shared" si="21"/>
        <v>98</v>
      </c>
      <c r="E108" s="178" t="str">
        <f>IF(OR('Services - NHC'!E107="",'Services - NHC'!E107="[Enter service]"),"",'Services - NHC'!E107)</f>
        <v/>
      </c>
      <c r="F108" s="179" t="str">
        <f>IF(OR('Services - NHC'!F107="",'Services - NHC'!F107="[Select]"),"",'Services - NHC'!F107)</f>
        <v/>
      </c>
      <c r="G108" s="191">
        <f>IF('Revenue - NHC'!V109="","",'Revenue - NHC'!V109)</f>
        <v>0</v>
      </c>
      <c r="H108" s="191">
        <f>IF('Revenue - WHC'!V109="","",'Revenue - WHC'!V109)</f>
        <v>0</v>
      </c>
      <c r="I108" s="191">
        <f>IF('Expenditure- NHC'!R108="","",'Expenditure- NHC'!R108)</f>
        <v>0</v>
      </c>
      <c r="J108" s="190">
        <f>IF('Expenditure - WHC'!R108="","",'Expenditure - WHC'!R108)</f>
        <v>0</v>
      </c>
      <c r="K108" s="207">
        <f t="shared" si="22"/>
        <v>0</v>
      </c>
      <c r="L108" s="211">
        <f t="shared" si="23"/>
        <v>0</v>
      </c>
      <c r="M108" s="205"/>
      <c r="N108" s="206"/>
    </row>
    <row r="109" spans="3:14" hidden="1" outlineLevel="1" x14ac:dyDescent="0.2">
      <c r="C109" s="13"/>
      <c r="D109" s="19">
        <f t="shared" si="21"/>
        <v>99</v>
      </c>
      <c r="E109" s="178" t="str">
        <f>IF(OR('Services - NHC'!E108="",'Services - NHC'!E108="[Enter service]"),"",'Services - NHC'!E108)</f>
        <v/>
      </c>
      <c r="F109" s="179" t="str">
        <f>IF(OR('Services - NHC'!F108="",'Services - NHC'!F108="[Select]"),"",'Services - NHC'!F108)</f>
        <v/>
      </c>
      <c r="G109" s="191">
        <f>IF('Revenue - NHC'!V110="","",'Revenue - NHC'!V110)</f>
        <v>0</v>
      </c>
      <c r="H109" s="191">
        <f>IF('Revenue - WHC'!V110="","",'Revenue - WHC'!V110)</f>
        <v>0</v>
      </c>
      <c r="I109" s="191">
        <f>IF('Expenditure- NHC'!R109="","",'Expenditure- NHC'!R109)</f>
        <v>0</v>
      </c>
      <c r="J109" s="190">
        <f>IF('Expenditure - WHC'!R109="","",'Expenditure - WHC'!R109)</f>
        <v>0</v>
      </c>
      <c r="K109" s="207">
        <f t="shared" si="22"/>
        <v>0</v>
      </c>
      <c r="L109" s="211">
        <f t="shared" si="23"/>
        <v>0</v>
      </c>
      <c r="M109" s="205"/>
      <c r="N109" s="206"/>
    </row>
    <row r="110" spans="3:14" hidden="1" outlineLevel="1" x14ac:dyDescent="0.2">
      <c r="C110" s="13"/>
      <c r="D110" s="19">
        <f t="shared" si="21"/>
        <v>100</v>
      </c>
      <c r="E110" s="178" t="str">
        <f>IF(OR('Services - NHC'!E109="",'Services - NHC'!E109="[Enter service]"),"",'Services - NHC'!E109)</f>
        <v/>
      </c>
      <c r="F110" s="179" t="str">
        <f>IF(OR('Services - NHC'!F109="",'Services - NHC'!F109="[Select]"),"",'Services - NHC'!F109)</f>
        <v/>
      </c>
      <c r="G110" s="191">
        <f>IF('Revenue - NHC'!V111="","",'Revenue - NHC'!V111)</f>
        <v>0</v>
      </c>
      <c r="H110" s="191">
        <f>IF('Revenue - WHC'!V111="","",'Revenue - WHC'!V111)</f>
        <v>0</v>
      </c>
      <c r="I110" s="191">
        <f>IF('Expenditure- NHC'!R110="","",'Expenditure- NHC'!R110)</f>
        <v>0</v>
      </c>
      <c r="J110" s="190">
        <f>IF('Expenditure - WHC'!R110="","",'Expenditure - WHC'!R110)</f>
        <v>0</v>
      </c>
      <c r="K110" s="207">
        <f t="shared" si="22"/>
        <v>0</v>
      </c>
      <c r="L110" s="211">
        <f t="shared" si="23"/>
        <v>0</v>
      </c>
      <c r="M110" s="205"/>
      <c r="N110" s="206"/>
    </row>
    <row r="111" spans="3:14" hidden="1" outlineLevel="1" x14ac:dyDescent="0.2">
      <c r="C111" s="13"/>
      <c r="D111" s="19">
        <f t="shared" si="21"/>
        <v>101</v>
      </c>
      <c r="E111" s="178" t="str">
        <f>IF(OR('Services - NHC'!E110="",'Services - NHC'!E110="[Enter service]"),"",'Services - NHC'!E110)</f>
        <v/>
      </c>
      <c r="F111" s="179" t="str">
        <f>IF(OR('Services - NHC'!F110="",'Services - NHC'!F110="[Select]"),"",'Services - NHC'!F110)</f>
        <v/>
      </c>
      <c r="G111" s="191">
        <f>IF('Revenue - NHC'!V112="","",'Revenue - NHC'!V112)</f>
        <v>0</v>
      </c>
      <c r="H111" s="191">
        <f>IF('Revenue - WHC'!V112="","",'Revenue - WHC'!V112)</f>
        <v>0</v>
      </c>
      <c r="I111" s="191">
        <f>IF('Expenditure- NHC'!R111="","",'Expenditure- NHC'!R111)</f>
        <v>0</v>
      </c>
      <c r="J111" s="190">
        <f>IF('Expenditure - WHC'!R111="","",'Expenditure - WHC'!R111)</f>
        <v>0</v>
      </c>
      <c r="K111" s="207">
        <f t="shared" si="22"/>
        <v>0</v>
      </c>
      <c r="L111" s="211">
        <f t="shared" si="23"/>
        <v>0</v>
      </c>
      <c r="M111" s="205"/>
      <c r="N111" s="206"/>
    </row>
    <row r="112" spans="3:14" hidden="1" outlineLevel="1" x14ac:dyDescent="0.2">
      <c r="C112" s="13"/>
      <c r="D112" s="19">
        <f t="shared" si="21"/>
        <v>102</v>
      </c>
      <c r="E112" s="178" t="str">
        <f>IF(OR('Services - NHC'!E111="",'Services - NHC'!E111="[Enter service]"),"",'Services - NHC'!E111)</f>
        <v/>
      </c>
      <c r="F112" s="179" t="str">
        <f>IF(OR('Services - NHC'!F111="",'Services - NHC'!F111="[Select]"),"",'Services - NHC'!F111)</f>
        <v/>
      </c>
      <c r="G112" s="191">
        <f>IF('Revenue - NHC'!V113="","",'Revenue - NHC'!V113)</f>
        <v>0</v>
      </c>
      <c r="H112" s="191">
        <f>IF('Revenue - WHC'!V113="","",'Revenue - WHC'!V113)</f>
        <v>0</v>
      </c>
      <c r="I112" s="191">
        <f>IF('Expenditure- NHC'!R112="","",'Expenditure- NHC'!R112)</f>
        <v>0</v>
      </c>
      <c r="J112" s="190">
        <f>IF('Expenditure - WHC'!R112="","",'Expenditure - WHC'!R112)</f>
        <v>0</v>
      </c>
      <c r="K112" s="207">
        <f t="shared" si="22"/>
        <v>0</v>
      </c>
      <c r="L112" s="211">
        <f t="shared" si="23"/>
        <v>0</v>
      </c>
      <c r="M112" s="205"/>
      <c r="N112" s="206"/>
    </row>
    <row r="113" spans="3:14" hidden="1" outlineLevel="1" x14ac:dyDescent="0.2">
      <c r="C113" s="13"/>
      <c r="D113" s="19">
        <f t="shared" si="21"/>
        <v>103</v>
      </c>
      <c r="E113" s="178" t="str">
        <f>IF(OR('Services - NHC'!E112="",'Services - NHC'!E112="[Enter service]"),"",'Services - NHC'!E112)</f>
        <v/>
      </c>
      <c r="F113" s="179" t="str">
        <f>IF(OR('Services - NHC'!F112="",'Services - NHC'!F112="[Select]"),"",'Services - NHC'!F112)</f>
        <v/>
      </c>
      <c r="G113" s="191">
        <f>IF('Revenue - NHC'!V114="","",'Revenue - NHC'!V114)</f>
        <v>0</v>
      </c>
      <c r="H113" s="191">
        <f>IF('Revenue - WHC'!V114="","",'Revenue - WHC'!V114)</f>
        <v>0</v>
      </c>
      <c r="I113" s="191">
        <f>IF('Expenditure- NHC'!R113="","",'Expenditure- NHC'!R113)</f>
        <v>0</v>
      </c>
      <c r="J113" s="190">
        <f>IF('Expenditure - WHC'!R113="","",'Expenditure - WHC'!R113)</f>
        <v>0</v>
      </c>
      <c r="K113" s="207">
        <f t="shared" si="22"/>
        <v>0</v>
      </c>
      <c r="L113" s="211">
        <f t="shared" si="23"/>
        <v>0</v>
      </c>
      <c r="M113" s="205"/>
      <c r="N113" s="206"/>
    </row>
    <row r="114" spans="3:14" hidden="1" outlineLevel="1" x14ac:dyDescent="0.2">
      <c r="C114" s="13"/>
      <c r="D114" s="19">
        <f t="shared" si="21"/>
        <v>104</v>
      </c>
      <c r="E114" s="178" t="str">
        <f>IF(OR('Services - NHC'!E113="",'Services - NHC'!E113="[Enter service]"),"",'Services - NHC'!E113)</f>
        <v/>
      </c>
      <c r="F114" s="179" t="str">
        <f>IF(OR('Services - NHC'!F113="",'Services - NHC'!F113="[Select]"),"",'Services - NHC'!F113)</f>
        <v/>
      </c>
      <c r="G114" s="191">
        <f>IF('Revenue - NHC'!V115="","",'Revenue - NHC'!V115)</f>
        <v>0</v>
      </c>
      <c r="H114" s="191">
        <f>IF('Revenue - WHC'!V115="","",'Revenue - WHC'!V115)</f>
        <v>0</v>
      </c>
      <c r="I114" s="191">
        <f>IF('Expenditure- NHC'!R114="","",'Expenditure- NHC'!R114)</f>
        <v>0</v>
      </c>
      <c r="J114" s="190">
        <f>IF('Expenditure - WHC'!R114="","",'Expenditure - WHC'!R114)</f>
        <v>0</v>
      </c>
      <c r="K114" s="207">
        <f t="shared" si="22"/>
        <v>0</v>
      </c>
      <c r="L114" s="211">
        <f t="shared" si="23"/>
        <v>0</v>
      </c>
      <c r="M114" s="205"/>
      <c r="N114" s="206"/>
    </row>
    <row r="115" spans="3:14" hidden="1" outlineLevel="1" x14ac:dyDescent="0.2">
      <c r="C115" s="13"/>
      <c r="D115" s="19">
        <f t="shared" si="21"/>
        <v>105</v>
      </c>
      <c r="E115" s="178" t="str">
        <f>IF(OR('Services - NHC'!E114="",'Services - NHC'!E114="[Enter service]"),"",'Services - NHC'!E114)</f>
        <v/>
      </c>
      <c r="F115" s="179" t="str">
        <f>IF(OR('Services - NHC'!F114="",'Services - NHC'!F114="[Select]"),"",'Services - NHC'!F114)</f>
        <v/>
      </c>
      <c r="G115" s="191">
        <f>IF('Revenue - NHC'!V116="","",'Revenue - NHC'!V116)</f>
        <v>0</v>
      </c>
      <c r="H115" s="191">
        <f>IF('Revenue - WHC'!V116="","",'Revenue - WHC'!V116)</f>
        <v>0</v>
      </c>
      <c r="I115" s="191">
        <f>IF('Expenditure- NHC'!R115="","",'Expenditure- NHC'!R115)</f>
        <v>0</v>
      </c>
      <c r="J115" s="190">
        <f>IF('Expenditure - WHC'!R115="","",'Expenditure - WHC'!R115)</f>
        <v>0</v>
      </c>
      <c r="K115" s="207">
        <f t="shared" si="22"/>
        <v>0</v>
      </c>
      <c r="L115" s="211">
        <f t="shared" si="23"/>
        <v>0</v>
      </c>
      <c r="M115" s="205"/>
      <c r="N115" s="206"/>
    </row>
    <row r="116" spans="3:14" hidden="1" outlineLevel="1" x14ac:dyDescent="0.2">
      <c r="C116" s="13"/>
      <c r="D116" s="19">
        <f t="shared" si="21"/>
        <v>106</v>
      </c>
      <c r="E116" s="178" t="str">
        <f>IF(OR('Services - NHC'!E115="",'Services - NHC'!E115="[Enter service]"),"",'Services - NHC'!E115)</f>
        <v/>
      </c>
      <c r="F116" s="179" t="str">
        <f>IF(OR('Services - NHC'!F115="",'Services - NHC'!F115="[Select]"),"",'Services - NHC'!F115)</f>
        <v/>
      </c>
      <c r="G116" s="191">
        <f>IF('Revenue - NHC'!V117="","",'Revenue - NHC'!V117)</f>
        <v>0</v>
      </c>
      <c r="H116" s="191">
        <f>IF('Revenue - WHC'!V117="","",'Revenue - WHC'!V117)</f>
        <v>0</v>
      </c>
      <c r="I116" s="191">
        <f>IF('Expenditure- NHC'!R116="","",'Expenditure- NHC'!R116)</f>
        <v>0</v>
      </c>
      <c r="J116" s="190">
        <f>IF('Expenditure - WHC'!R116="","",'Expenditure - WHC'!R116)</f>
        <v>0</v>
      </c>
      <c r="K116" s="207">
        <f t="shared" si="22"/>
        <v>0</v>
      </c>
      <c r="L116" s="211">
        <f t="shared" si="23"/>
        <v>0</v>
      </c>
      <c r="M116" s="205"/>
      <c r="N116" s="206"/>
    </row>
    <row r="117" spans="3:14" hidden="1" outlineLevel="1" x14ac:dyDescent="0.2">
      <c r="C117" s="13"/>
      <c r="D117" s="19">
        <f t="shared" si="21"/>
        <v>107</v>
      </c>
      <c r="E117" s="178" t="str">
        <f>IF(OR('Services - NHC'!E116="",'Services - NHC'!E116="[Enter service]"),"",'Services - NHC'!E116)</f>
        <v/>
      </c>
      <c r="F117" s="179" t="str">
        <f>IF(OR('Services - NHC'!F116="",'Services - NHC'!F116="[Select]"),"",'Services - NHC'!F116)</f>
        <v/>
      </c>
      <c r="G117" s="191">
        <f>IF('Revenue - NHC'!V118="","",'Revenue - NHC'!V118)</f>
        <v>0</v>
      </c>
      <c r="H117" s="191">
        <f>IF('Revenue - WHC'!V118="","",'Revenue - WHC'!V118)</f>
        <v>0</v>
      </c>
      <c r="I117" s="191">
        <f>IF('Expenditure- NHC'!R117="","",'Expenditure- NHC'!R117)</f>
        <v>0</v>
      </c>
      <c r="J117" s="190">
        <f>IF('Expenditure - WHC'!R117="","",'Expenditure - WHC'!R117)</f>
        <v>0</v>
      </c>
      <c r="K117" s="207">
        <f t="shared" si="22"/>
        <v>0</v>
      </c>
      <c r="L117" s="211">
        <f t="shared" si="23"/>
        <v>0</v>
      </c>
      <c r="M117" s="205"/>
      <c r="N117" s="206"/>
    </row>
    <row r="118" spans="3:14" hidden="1" outlineLevel="1" x14ac:dyDescent="0.2">
      <c r="C118" s="13"/>
      <c r="D118" s="19">
        <f t="shared" si="21"/>
        <v>108</v>
      </c>
      <c r="E118" s="178" t="str">
        <f>IF(OR('Services - NHC'!E117="",'Services - NHC'!E117="[Enter service]"),"",'Services - NHC'!E117)</f>
        <v/>
      </c>
      <c r="F118" s="179" t="str">
        <f>IF(OR('Services - NHC'!F117="",'Services - NHC'!F117="[Select]"),"",'Services - NHC'!F117)</f>
        <v/>
      </c>
      <c r="G118" s="191">
        <f>IF('Revenue - NHC'!V119="","",'Revenue - NHC'!V119)</f>
        <v>0</v>
      </c>
      <c r="H118" s="191">
        <f>IF('Revenue - WHC'!V119="","",'Revenue - WHC'!V119)</f>
        <v>0</v>
      </c>
      <c r="I118" s="191">
        <f>IF('Expenditure- NHC'!R118="","",'Expenditure- NHC'!R118)</f>
        <v>0</v>
      </c>
      <c r="J118" s="190">
        <f>IF('Expenditure - WHC'!R118="","",'Expenditure - WHC'!R118)</f>
        <v>0</v>
      </c>
      <c r="K118" s="207">
        <f t="shared" si="22"/>
        <v>0</v>
      </c>
      <c r="L118" s="211">
        <f t="shared" si="23"/>
        <v>0</v>
      </c>
      <c r="M118" s="205"/>
      <c r="N118" s="206"/>
    </row>
    <row r="119" spans="3:14" hidden="1" outlineLevel="1" x14ac:dyDescent="0.2">
      <c r="C119" s="13"/>
      <c r="D119" s="19">
        <f t="shared" si="21"/>
        <v>109</v>
      </c>
      <c r="E119" s="178" t="str">
        <f>IF(OR('Services - NHC'!E118="",'Services - NHC'!E118="[Enter service]"),"",'Services - NHC'!E118)</f>
        <v/>
      </c>
      <c r="F119" s="179" t="str">
        <f>IF(OR('Services - NHC'!F118="",'Services - NHC'!F118="[Select]"),"",'Services - NHC'!F118)</f>
        <v/>
      </c>
      <c r="G119" s="191">
        <f>IF('Revenue - NHC'!V120="","",'Revenue - NHC'!V120)</f>
        <v>0</v>
      </c>
      <c r="H119" s="191">
        <f>IF('Revenue - WHC'!V120="","",'Revenue - WHC'!V120)</f>
        <v>0</v>
      </c>
      <c r="I119" s="191">
        <f>IF('Expenditure- NHC'!R119="","",'Expenditure- NHC'!R119)</f>
        <v>0</v>
      </c>
      <c r="J119" s="190">
        <f>IF('Expenditure - WHC'!R119="","",'Expenditure - WHC'!R119)</f>
        <v>0</v>
      </c>
      <c r="K119" s="207">
        <f t="shared" si="22"/>
        <v>0</v>
      </c>
      <c r="L119" s="211">
        <f t="shared" si="23"/>
        <v>0</v>
      </c>
      <c r="M119" s="205"/>
      <c r="N119" s="206"/>
    </row>
    <row r="120" spans="3:14" hidden="1" outlineLevel="1" x14ac:dyDescent="0.2">
      <c r="C120" s="13"/>
      <c r="D120" s="19">
        <f t="shared" si="21"/>
        <v>110</v>
      </c>
      <c r="E120" s="178" t="str">
        <f>IF(OR('Services - NHC'!E119="",'Services - NHC'!E119="[Enter service]"),"",'Services - NHC'!E119)</f>
        <v/>
      </c>
      <c r="F120" s="179" t="str">
        <f>IF(OR('Services - NHC'!F119="",'Services - NHC'!F119="[Select]"),"",'Services - NHC'!F119)</f>
        <v/>
      </c>
      <c r="G120" s="191">
        <f>IF('Revenue - NHC'!V121="","",'Revenue - NHC'!V121)</f>
        <v>0</v>
      </c>
      <c r="H120" s="191">
        <f>IF('Revenue - WHC'!V121="","",'Revenue - WHC'!V121)</f>
        <v>0</v>
      </c>
      <c r="I120" s="191">
        <f>IF('Expenditure- NHC'!R120="","",'Expenditure- NHC'!R120)</f>
        <v>0</v>
      </c>
      <c r="J120" s="190">
        <f>IF('Expenditure - WHC'!R120="","",'Expenditure - WHC'!R120)</f>
        <v>0</v>
      </c>
      <c r="K120" s="207">
        <f t="shared" si="22"/>
        <v>0</v>
      </c>
      <c r="L120" s="211">
        <f t="shared" si="23"/>
        <v>0</v>
      </c>
      <c r="M120" s="205"/>
      <c r="N120" s="206"/>
    </row>
    <row r="121" spans="3:14" hidden="1" outlineLevel="1" x14ac:dyDescent="0.2">
      <c r="C121" s="13"/>
      <c r="D121" s="19">
        <f t="shared" si="21"/>
        <v>111</v>
      </c>
      <c r="E121" s="178" t="str">
        <f>IF(OR('Services - NHC'!E120="",'Services - NHC'!E120="[Enter service]"),"",'Services - NHC'!E120)</f>
        <v/>
      </c>
      <c r="F121" s="179" t="str">
        <f>IF(OR('Services - NHC'!F120="",'Services - NHC'!F120="[Select]"),"",'Services - NHC'!F120)</f>
        <v/>
      </c>
      <c r="G121" s="191">
        <f>IF('Revenue - NHC'!V122="","",'Revenue - NHC'!V122)</f>
        <v>0</v>
      </c>
      <c r="H121" s="191">
        <f>IF('Revenue - WHC'!V122="","",'Revenue - WHC'!V122)</f>
        <v>0</v>
      </c>
      <c r="I121" s="191">
        <f>IF('Expenditure- NHC'!R121="","",'Expenditure- NHC'!R121)</f>
        <v>0</v>
      </c>
      <c r="J121" s="190">
        <f>IF('Expenditure - WHC'!R121="","",'Expenditure - WHC'!R121)</f>
        <v>0</v>
      </c>
      <c r="K121" s="207">
        <f t="shared" si="22"/>
        <v>0</v>
      </c>
      <c r="L121" s="211">
        <f t="shared" si="23"/>
        <v>0</v>
      </c>
      <c r="M121" s="205"/>
      <c r="N121" s="206"/>
    </row>
    <row r="122" spans="3:14" hidden="1" outlineLevel="1" x14ac:dyDescent="0.2">
      <c r="C122" s="13"/>
      <c r="D122" s="19">
        <f t="shared" si="21"/>
        <v>112</v>
      </c>
      <c r="E122" s="178" t="str">
        <f>IF(OR('Services - NHC'!E121="",'Services - NHC'!E121="[Enter service]"),"",'Services - NHC'!E121)</f>
        <v/>
      </c>
      <c r="F122" s="179" t="str">
        <f>IF(OR('Services - NHC'!F121="",'Services - NHC'!F121="[Select]"),"",'Services - NHC'!F121)</f>
        <v/>
      </c>
      <c r="G122" s="191">
        <f>IF('Revenue - NHC'!V123="","",'Revenue - NHC'!V123)</f>
        <v>0</v>
      </c>
      <c r="H122" s="191">
        <f>IF('Revenue - WHC'!V123="","",'Revenue - WHC'!V123)</f>
        <v>0</v>
      </c>
      <c r="I122" s="191">
        <f>IF('Expenditure- NHC'!R122="","",'Expenditure- NHC'!R122)</f>
        <v>0</v>
      </c>
      <c r="J122" s="190">
        <f>IF('Expenditure - WHC'!R122="","",'Expenditure - WHC'!R122)</f>
        <v>0</v>
      </c>
      <c r="K122" s="207">
        <f t="shared" si="22"/>
        <v>0</v>
      </c>
      <c r="L122" s="211">
        <f t="shared" si="23"/>
        <v>0</v>
      </c>
      <c r="M122" s="205"/>
      <c r="N122" s="206"/>
    </row>
    <row r="123" spans="3:14" hidden="1" outlineLevel="1" x14ac:dyDescent="0.2">
      <c r="C123" s="13"/>
      <c r="D123" s="19">
        <f t="shared" si="21"/>
        <v>113</v>
      </c>
      <c r="E123" s="178" t="str">
        <f>IF(OR('Services - NHC'!E122="",'Services - NHC'!E122="[Enter service]"),"",'Services - NHC'!E122)</f>
        <v/>
      </c>
      <c r="F123" s="179" t="str">
        <f>IF(OR('Services - NHC'!F122="",'Services - NHC'!F122="[Select]"),"",'Services - NHC'!F122)</f>
        <v/>
      </c>
      <c r="G123" s="191">
        <f>IF('Revenue - NHC'!V124="","",'Revenue - NHC'!V124)</f>
        <v>0</v>
      </c>
      <c r="H123" s="191">
        <f>IF('Revenue - WHC'!V124="","",'Revenue - WHC'!V124)</f>
        <v>0</v>
      </c>
      <c r="I123" s="191">
        <f>IF('Expenditure- NHC'!R123="","",'Expenditure- NHC'!R123)</f>
        <v>0</v>
      </c>
      <c r="J123" s="190">
        <f>IF('Expenditure - WHC'!R123="","",'Expenditure - WHC'!R123)</f>
        <v>0</v>
      </c>
      <c r="K123" s="207">
        <f t="shared" si="22"/>
        <v>0</v>
      </c>
      <c r="L123" s="211">
        <f t="shared" si="23"/>
        <v>0</v>
      </c>
      <c r="M123" s="205"/>
      <c r="N123" s="206"/>
    </row>
    <row r="124" spans="3:14" hidden="1" outlineLevel="1" x14ac:dyDescent="0.2">
      <c r="C124" s="13"/>
      <c r="D124" s="19">
        <f t="shared" si="21"/>
        <v>114</v>
      </c>
      <c r="E124" s="178" t="str">
        <f>IF(OR('Services - NHC'!E123="",'Services - NHC'!E123="[Enter service]"),"",'Services - NHC'!E123)</f>
        <v/>
      </c>
      <c r="F124" s="179" t="str">
        <f>IF(OR('Services - NHC'!F123="",'Services - NHC'!F123="[Select]"),"",'Services - NHC'!F123)</f>
        <v/>
      </c>
      <c r="G124" s="191">
        <f>IF('Revenue - NHC'!V125="","",'Revenue - NHC'!V125)</f>
        <v>0</v>
      </c>
      <c r="H124" s="191">
        <f>IF('Revenue - WHC'!V125="","",'Revenue - WHC'!V125)</f>
        <v>0</v>
      </c>
      <c r="I124" s="191">
        <f>IF('Expenditure- NHC'!R124="","",'Expenditure- NHC'!R124)</f>
        <v>0</v>
      </c>
      <c r="J124" s="190">
        <f>IF('Expenditure - WHC'!R124="","",'Expenditure - WHC'!R124)</f>
        <v>0</v>
      </c>
      <c r="K124" s="207">
        <f t="shared" si="22"/>
        <v>0</v>
      </c>
      <c r="L124" s="211">
        <f t="shared" si="23"/>
        <v>0</v>
      </c>
      <c r="M124" s="205"/>
      <c r="N124" s="206"/>
    </row>
    <row r="125" spans="3:14" hidden="1" outlineLevel="1" x14ac:dyDescent="0.2">
      <c r="C125" s="13"/>
      <c r="D125" s="19">
        <f t="shared" si="21"/>
        <v>115</v>
      </c>
      <c r="E125" s="178" t="str">
        <f>IF(OR('Services - NHC'!E124="",'Services - NHC'!E124="[Enter service]"),"",'Services - NHC'!E124)</f>
        <v/>
      </c>
      <c r="F125" s="179" t="str">
        <f>IF(OR('Services - NHC'!F124="",'Services - NHC'!F124="[Select]"),"",'Services - NHC'!F124)</f>
        <v/>
      </c>
      <c r="G125" s="191">
        <f>IF('Revenue - NHC'!V126="","",'Revenue - NHC'!V126)</f>
        <v>0</v>
      </c>
      <c r="H125" s="191">
        <f>IF('Revenue - WHC'!V126="","",'Revenue - WHC'!V126)</f>
        <v>0</v>
      </c>
      <c r="I125" s="191">
        <f>IF('Expenditure- NHC'!R125="","",'Expenditure- NHC'!R125)</f>
        <v>0</v>
      </c>
      <c r="J125" s="190">
        <f>IF('Expenditure - WHC'!R125="","",'Expenditure - WHC'!R125)</f>
        <v>0</v>
      </c>
      <c r="K125" s="207">
        <f t="shared" si="22"/>
        <v>0</v>
      </c>
      <c r="L125" s="211">
        <f t="shared" si="23"/>
        <v>0</v>
      </c>
      <c r="M125" s="205"/>
      <c r="N125" s="206"/>
    </row>
    <row r="126" spans="3:14" hidden="1" outlineLevel="1" x14ac:dyDescent="0.2">
      <c r="C126" s="13"/>
      <c r="D126" s="19">
        <f t="shared" si="21"/>
        <v>116</v>
      </c>
      <c r="E126" s="178" t="str">
        <f>IF(OR('Services - NHC'!E125="",'Services - NHC'!E125="[Enter service]"),"",'Services - NHC'!E125)</f>
        <v/>
      </c>
      <c r="F126" s="179" t="str">
        <f>IF(OR('Services - NHC'!F125="",'Services - NHC'!F125="[Select]"),"",'Services - NHC'!F125)</f>
        <v/>
      </c>
      <c r="G126" s="191">
        <f>IF('Revenue - NHC'!V127="","",'Revenue - NHC'!V127)</f>
        <v>0</v>
      </c>
      <c r="H126" s="191">
        <f>IF('Revenue - WHC'!V127="","",'Revenue - WHC'!V127)</f>
        <v>0</v>
      </c>
      <c r="I126" s="191">
        <f>IF('Expenditure- NHC'!R126="","",'Expenditure- NHC'!R126)</f>
        <v>0</v>
      </c>
      <c r="J126" s="190">
        <f>IF('Expenditure - WHC'!R126="","",'Expenditure - WHC'!R126)</f>
        <v>0</v>
      </c>
      <c r="K126" s="207">
        <f t="shared" si="22"/>
        <v>0</v>
      </c>
      <c r="L126" s="211">
        <f t="shared" si="23"/>
        <v>0</v>
      </c>
      <c r="M126" s="205"/>
      <c r="N126" s="206"/>
    </row>
    <row r="127" spans="3:14" hidden="1" outlineLevel="1" x14ac:dyDescent="0.2">
      <c r="C127" s="13"/>
      <c r="D127" s="19">
        <f t="shared" si="21"/>
        <v>117</v>
      </c>
      <c r="E127" s="178" t="str">
        <f>IF(OR('Services - NHC'!E126="",'Services - NHC'!E126="[Enter service]"),"",'Services - NHC'!E126)</f>
        <v/>
      </c>
      <c r="F127" s="179" t="str">
        <f>IF(OR('Services - NHC'!F126="",'Services - NHC'!F126="[Select]"),"",'Services - NHC'!F126)</f>
        <v/>
      </c>
      <c r="G127" s="191">
        <f>IF('Revenue - NHC'!V128="","",'Revenue - NHC'!V128)</f>
        <v>0</v>
      </c>
      <c r="H127" s="191">
        <f>IF('Revenue - WHC'!V128="","",'Revenue - WHC'!V128)</f>
        <v>0</v>
      </c>
      <c r="I127" s="191">
        <f>IF('Expenditure- NHC'!R127="","",'Expenditure- NHC'!R127)</f>
        <v>0</v>
      </c>
      <c r="J127" s="190">
        <f>IF('Expenditure - WHC'!R127="","",'Expenditure - WHC'!R127)</f>
        <v>0</v>
      </c>
      <c r="K127" s="207">
        <f t="shared" si="22"/>
        <v>0</v>
      </c>
      <c r="L127" s="211">
        <f t="shared" si="23"/>
        <v>0</v>
      </c>
      <c r="M127" s="205"/>
      <c r="N127" s="206"/>
    </row>
    <row r="128" spans="3:14" hidden="1" outlineLevel="1" x14ac:dyDescent="0.2">
      <c r="C128" s="13"/>
      <c r="D128" s="19">
        <f t="shared" si="21"/>
        <v>118</v>
      </c>
      <c r="E128" s="178" t="str">
        <f>IF(OR('Services - NHC'!E127="",'Services - NHC'!E127="[Enter service]"),"",'Services - NHC'!E127)</f>
        <v/>
      </c>
      <c r="F128" s="179" t="str">
        <f>IF(OR('Services - NHC'!F127="",'Services - NHC'!F127="[Select]"),"",'Services - NHC'!F127)</f>
        <v/>
      </c>
      <c r="G128" s="191">
        <f>IF('Revenue - NHC'!V129="","",'Revenue - NHC'!V129)</f>
        <v>0</v>
      </c>
      <c r="H128" s="191">
        <f>IF('Revenue - WHC'!V129="","",'Revenue - WHC'!V129)</f>
        <v>0</v>
      </c>
      <c r="I128" s="191">
        <f>IF('Expenditure- NHC'!R128="","",'Expenditure- NHC'!R128)</f>
        <v>0</v>
      </c>
      <c r="J128" s="190">
        <f>IF('Expenditure - WHC'!R128="","",'Expenditure - WHC'!R128)</f>
        <v>0</v>
      </c>
      <c r="K128" s="207">
        <f t="shared" si="22"/>
        <v>0</v>
      </c>
      <c r="L128" s="211">
        <f t="shared" si="23"/>
        <v>0</v>
      </c>
      <c r="M128" s="205"/>
      <c r="N128" s="206"/>
    </row>
    <row r="129" spans="3:14" hidden="1" outlineLevel="1" x14ac:dyDescent="0.2">
      <c r="C129" s="13"/>
      <c r="D129" s="19">
        <f t="shared" si="21"/>
        <v>119</v>
      </c>
      <c r="E129" s="178" t="str">
        <f>IF(OR('Services - NHC'!E128="",'Services - NHC'!E128="[Enter service]"),"",'Services - NHC'!E128)</f>
        <v/>
      </c>
      <c r="F129" s="179" t="str">
        <f>IF(OR('Services - NHC'!F128="",'Services - NHC'!F128="[Select]"),"",'Services - NHC'!F128)</f>
        <v/>
      </c>
      <c r="G129" s="191">
        <f>IF('Revenue - NHC'!V130="","",'Revenue - NHC'!V130)</f>
        <v>0</v>
      </c>
      <c r="H129" s="191">
        <f>IF('Revenue - WHC'!V130="","",'Revenue - WHC'!V130)</f>
        <v>0</v>
      </c>
      <c r="I129" s="191">
        <f>IF('Expenditure- NHC'!R129="","",'Expenditure- NHC'!R129)</f>
        <v>0</v>
      </c>
      <c r="J129" s="190">
        <f>IF('Expenditure - WHC'!R129="","",'Expenditure - WHC'!R129)</f>
        <v>0</v>
      </c>
      <c r="K129" s="207">
        <f t="shared" si="22"/>
        <v>0</v>
      </c>
      <c r="L129" s="211">
        <f t="shared" si="23"/>
        <v>0</v>
      </c>
      <c r="M129" s="205"/>
      <c r="N129" s="206"/>
    </row>
    <row r="130" spans="3:14" hidden="1" outlineLevel="1" x14ac:dyDescent="0.2">
      <c r="C130" s="13"/>
      <c r="D130" s="19">
        <f t="shared" si="21"/>
        <v>120</v>
      </c>
      <c r="E130" s="178" t="str">
        <f>IF(OR('Services - NHC'!E129="",'Services - NHC'!E129="[Enter service]"),"",'Services - NHC'!E129)</f>
        <v/>
      </c>
      <c r="F130" s="179" t="str">
        <f>IF(OR('Services - NHC'!F129="",'Services - NHC'!F129="[Select]"),"",'Services - NHC'!F129)</f>
        <v/>
      </c>
      <c r="G130" s="191">
        <f>IF('Revenue - NHC'!V131="","",'Revenue - NHC'!V131)</f>
        <v>0</v>
      </c>
      <c r="H130" s="191">
        <f>IF('Revenue - WHC'!V131="","",'Revenue - WHC'!V131)</f>
        <v>0</v>
      </c>
      <c r="I130" s="191">
        <f>IF('Expenditure- NHC'!R130="","",'Expenditure- NHC'!R130)</f>
        <v>0</v>
      </c>
      <c r="J130" s="190">
        <f>IF('Expenditure - WHC'!R130="","",'Expenditure - WHC'!R130)</f>
        <v>0</v>
      </c>
      <c r="K130" s="207">
        <f t="shared" si="22"/>
        <v>0</v>
      </c>
      <c r="L130" s="211">
        <f t="shared" si="23"/>
        <v>0</v>
      </c>
      <c r="M130" s="205"/>
      <c r="N130" s="206"/>
    </row>
    <row r="131" spans="3:14" hidden="1" outlineLevel="1" x14ac:dyDescent="0.2">
      <c r="C131" s="13"/>
      <c r="D131" s="19">
        <f t="shared" si="21"/>
        <v>121</v>
      </c>
      <c r="E131" s="178" t="str">
        <f>IF(OR('Services - NHC'!E130="",'Services - NHC'!E130="[Enter service]"),"",'Services - NHC'!E130)</f>
        <v/>
      </c>
      <c r="F131" s="179" t="str">
        <f>IF(OR('Services - NHC'!F130="",'Services - NHC'!F130="[Select]"),"",'Services - NHC'!F130)</f>
        <v/>
      </c>
      <c r="G131" s="191">
        <f>IF('Revenue - NHC'!V132="","",'Revenue - NHC'!V132)</f>
        <v>0</v>
      </c>
      <c r="H131" s="191">
        <f>IF('Revenue - WHC'!V132="","",'Revenue - WHC'!V132)</f>
        <v>0</v>
      </c>
      <c r="I131" s="191">
        <f>IF('Expenditure- NHC'!R131="","",'Expenditure- NHC'!R131)</f>
        <v>0</v>
      </c>
      <c r="J131" s="190">
        <f>IF('Expenditure - WHC'!R131="","",'Expenditure - WHC'!R131)</f>
        <v>0</v>
      </c>
      <c r="K131" s="207">
        <f t="shared" si="22"/>
        <v>0</v>
      </c>
      <c r="L131" s="211">
        <f t="shared" si="23"/>
        <v>0</v>
      </c>
      <c r="M131" s="205"/>
      <c r="N131" s="206"/>
    </row>
    <row r="132" spans="3:14" hidden="1" outlineLevel="1" x14ac:dyDescent="0.2">
      <c r="C132" s="13"/>
      <c r="D132" s="19">
        <f t="shared" si="21"/>
        <v>122</v>
      </c>
      <c r="E132" s="178" t="str">
        <f>IF(OR('Services - NHC'!E131="",'Services - NHC'!E131="[Enter service]"),"",'Services - NHC'!E131)</f>
        <v/>
      </c>
      <c r="F132" s="179" t="str">
        <f>IF(OR('Services - NHC'!F131="",'Services - NHC'!F131="[Select]"),"",'Services - NHC'!F131)</f>
        <v/>
      </c>
      <c r="G132" s="191">
        <f>IF('Revenue - NHC'!V133="","",'Revenue - NHC'!V133)</f>
        <v>0</v>
      </c>
      <c r="H132" s="191">
        <f>IF('Revenue - WHC'!V133="","",'Revenue - WHC'!V133)</f>
        <v>0</v>
      </c>
      <c r="I132" s="191">
        <f>IF('Expenditure- NHC'!R132="","",'Expenditure- NHC'!R132)</f>
        <v>0</v>
      </c>
      <c r="J132" s="190">
        <f>IF('Expenditure - WHC'!R132="","",'Expenditure - WHC'!R132)</f>
        <v>0</v>
      </c>
      <c r="K132" s="207">
        <f t="shared" si="22"/>
        <v>0</v>
      </c>
      <c r="L132" s="211">
        <f t="shared" si="23"/>
        <v>0</v>
      </c>
      <c r="M132" s="205"/>
      <c r="N132" s="206"/>
    </row>
    <row r="133" spans="3:14" hidden="1" outlineLevel="1" x14ac:dyDescent="0.2">
      <c r="C133" s="13"/>
      <c r="D133" s="19">
        <f t="shared" si="21"/>
        <v>123</v>
      </c>
      <c r="E133" s="178" t="str">
        <f>IF(OR('Services - NHC'!E132="",'Services - NHC'!E132="[Enter service]"),"",'Services - NHC'!E132)</f>
        <v/>
      </c>
      <c r="F133" s="179" t="str">
        <f>IF(OR('Services - NHC'!F132="",'Services - NHC'!F132="[Select]"),"",'Services - NHC'!F132)</f>
        <v/>
      </c>
      <c r="G133" s="191">
        <f>IF('Revenue - NHC'!V134="","",'Revenue - NHC'!V134)</f>
        <v>0</v>
      </c>
      <c r="H133" s="191">
        <f>IF('Revenue - WHC'!V134="","",'Revenue - WHC'!V134)</f>
        <v>0</v>
      </c>
      <c r="I133" s="191">
        <f>IF('Expenditure- NHC'!R133="","",'Expenditure- NHC'!R133)</f>
        <v>0</v>
      </c>
      <c r="J133" s="190">
        <f>IF('Expenditure - WHC'!R133="","",'Expenditure - WHC'!R133)</f>
        <v>0</v>
      </c>
      <c r="K133" s="207">
        <f t="shared" si="22"/>
        <v>0</v>
      </c>
      <c r="L133" s="211">
        <f t="shared" si="23"/>
        <v>0</v>
      </c>
      <c r="M133" s="205"/>
      <c r="N133" s="206"/>
    </row>
    <row r="134" spans="3:14" hidden="1" outlineLevel="1" x14ac:dyDescent="0.2">
      <c r="C134" s="13"/>
      <c r="D134" s="19">
        <f t="shared" si="21"/>
        <v>124</v>
      </c>
      <c r="E134" s="178" t="str">
        <f>IF(OR('Services - NHC'!E133="",'Services - NHC'!E133="[Enter service]"),"",'Services - NHC'!E133)</f>
        <v/>
      </c>
      <c r="F134" s="179" t="str">
        <f>IF(OR('Services - NHC'!F133="",'Services - NHC'!F133="[Select]"),"",'Services - NHC'!F133)</f>
        <v/>
      </c>
      <c r="G134" s="191">
        <f>IF('Revenue - NHC'!V135="","",'Revenue - NHC'!V135)</f>
        <v>0</v>
      </c>
      <c r="H134" s="191">
        <f>IF('Revenue - WHC'!V135="","",'Revenue - WHC'!V135)</f>
        <v>0</v>
      </c>
      <c r="I134" s="191">
        <f>IF('Expenditure- NHC'!R134="","",'Expenditure- NHC'!R134)</f>
        <v>0</v>
      </c>
      <c r="J134" s="190">
        <f>IF('Expenditure - WHC'!R134="","",'Expenditure - WHC'!R134)</f>
        <v>0</v>
      </c>
      <c r="K134" s="207">
        <f t="shared" si="22"/>
        <v>0</v>
      </c>
      <c r="L134" s="211">
        <f t="shared" si="23"/>
        <v>0</v>
      </c>
      <c r="M134" s="205"/>
      <c r="N134" s="206"/>
    </row>
    <row r="135" spans="3:14" hidden="1" outlineLevel="1" x14ac:dyDescent="0.2">
      <c r="C135" s="13"/>
      <c r="D135" s="19">
        <f t="shared" si="21"/>
        <v>125</v>
      </c>
      <c r="E135" s="178" t="str">
        <f>IF(OR('Services - NHC'!E134="",'Services - NHC'!E134="[Enter service]"),"",'Services - NHC'!E134)</f>
        <v/>
      </c>
      <c r="F135" s="179" t="str">
        <f>IF(OR('Services - NHC'!F134="",'Services - NHC'!F134="[Select]"),"",'Services - NHC'!F134)</f>
        <v/>
      </c>
      <c r="G135" s="191">
        <f>IF('Revenue - NHC'!V136="","",'Revenue - NHC'!V136)</f>
        <v>0</v>
      </c>
      <c r="H135" s="191">
        <f>IF('Revenue - WHC'!V136="","",'Revenue - WHC'!V136)</f>
        <v>0</v>
      </c>
      <c r="I135" s="191">
        <f>IF('Expenditure- NHC'!R135="","",'Expenditure- NHC'!R135)</f>
        <v>0</v>
      </c>
      <c r="J135" s="190">
        <f>IF('Expenditure - WHC'!R135="","",'Expenditure - WHC'!R135)</f>
        <v>0</v>
      </c>
      <c r="K135" s="207">
        <f t="shared" si="22"/>
        <v>0</v>
      </c>
      <c r="L135" s="211">
        <f t="shared" si="23"/>
        <v>0</v>
      </c>
      <c r="M135" s="205"/>
      <c r="N135" s="206"/>
    </row>
    <row r="136" spans="3:14" hidden="1" outlineLevel="1" x14ac:dyDescent="0.2">
      <c r="C136" s="13"/>
      <c r="D136" s="19">
        <f t="shared" si="21"/>
        <v>126</v>
      </c>
      <c r="E136" s="178" t="str">
        <f>IF(OR('Services - NHC'!E135="",'Services - NHC'!E135="[Enter service]"),"",'Services - NHC'!E135)</f>
        <v/>
      </c>
      <c r="F136" s="179" t="str">
        <f>IF(OR('Services - NHC'!F135="",'Services - NHC'!F135="[Select]"),"",'Services - NHC'!F135)</f>
        <v/>
      </c>
      <c r="G136" s="191">
        <f>IF('Revenue - NHC'!V137="","",'Revenue - NHC'!V137)</f>
        <v>0</v>
      </c>
      <c r="H136" s="191">
        <f>IF('Revenue - WHC'!V137="","",'Revenue - WHC'!V137)</f>
        <v>0</v>
      </c>
      <c r="I136" s="191">
        <f>IF('Expenditure- NHC'!R136="","",'Expenditure- NHC'!R136)</f>
        <v>0</v>
      </c>
      <c r="J136" s="190">
        <f>IF('Expenditure - WHC'!R136="","",'Expenditure - WHC'!R136)</f>
        <v>0</v>
      </c>
      <c r="K136" s="207">
        <f t="shared" si="22"/>
        <v>0</v>
      </c>
      <c r="L136" s="211">
        <f t="shared" si="23"/>
        <v>0</v>
      </c>
      <c r="M136" s="205"/>
      <c r="N136" s="206"/>
    </row>
    <row r="137" spans="3:14" hidden="1" outlineLevel="1" x14ac:dyDescent="0.2">
      <c r="C137" s="13"/>
      <c r="D137" s="19">
        <f t="shared" si="21"/>
        <v>127</v>
      </c>
      <c r="E137" s="178" t="str">
        <f>IF(OR('Services - NHC'!E136="",'Services - NHC'!E136="[Enter service]"),"",'Services - NHC'!E136)</f>
        <v/>
      </c>
      <c r="F137" s="179" t="str">
        <f>IF(OR('Services - NHC'!F136="",'Services - NHC'!F136="[Select]"),"",'Services - NHC'!F136)</f>
        <v/>
      </c>
      <c r="G137" s="191">
        <f>IF('Revenue - NHC'!V138="","",'Revenue - NHC'!V138)</f>
        <v>0</v>
      </c>
      <c r="H137" s="191">
        <f>IF('Revenue - WHC'!V138="","",'Revenue - WHC'!V138)</f>
        <v>0</v>
      </c>
      <c r="I137" s="191">
        <f>IF('Expenditure- NHC'!R137="","",'Expenditure- NHC'!R137)</f>
        <v>0</v>
      </c>
      <c r="J137" s="190">
        <f>IF('Expenditure - WHC'!R137="","",'Expenditure - WHC'!R137)</f>
        <v>0</v>
      </c>
      <c r="K137" s="207">
        <f t="shared" si="22"/>
        <v>0</v>
      </c>
      <c r="L137" s="211">
        <f t="shared" si="23"/>
        <v>0</v>
      </c>
      <c r="M137" s="205"/>
      <c r="N137" s="206"/>
    </row>
    <row r="138" spans="3:14" hidden="1" outlineLevel="1" x14ac:dyDescent="0.2">
      <c r="C138" s="13"/>
      <c r="D138" s="19">
        <f t="shared" si="21"/>
        <v>128</v>
      </c>
      <c r="E138" s="178" t="str">
        <f>IF(OR('Services - NHC'!E137="",'Services - NHC'!E137="[Enter service]"),"",'Services - NHC'!E137)</f>
        <v/>
      </c>
      <c r="F138" s="179" t="str">
        <f>IF(OR('Services - NHC'!F137="",'Services - NHC'!F137="[Select]"),"",'Services - NHC'!F137)</f>
        <v/>
      </c>
      <c r="G138" s="191">
        <f>IF('Revenue - NHC'!V139="","",'Revenue - NHC'!V139)</f>
        <v>0</v>
      </c>
      <c r="H138" s="191">
        <f>IF('Revenue - WHC'!V139="","",'Revenue - WHC'!V139)</f>
        <v>0</v>
      </c>
      <c r="I138" s="191">
        <f>IF('Expenditure- NHC'!R138="","",'Expenditure- NHC'!R138)</f>
        <v>0</v>
      </c>
      <c r="J138" s="190">
        <f>IF('Expenditure - WHC'!R138="","",'Expenditure - WHC'!R138)</f>
        <v>0</v>
      </c>
      <c r="K138" s="207">
        <f t="shared" si="22"/>
        <v>0</v>
      </c>
      <c r="L138" s="211">
        <f t="shared" si="23"/>
        <v>0</v>
      </c>
      <c r="M138" s="205"/>
      <c r="N138" s="206"/>
    </row>
    <row r="139" spans="3:14" hidden="1" outlineLevel="1" x14ac:dyDescent="0.2">
      <c r="C139" s="13"/>
      <c r="D139" s="19">
        <f t="shared" si="21"/>
        <v>129</v>
      </c>
      <c r="E139" s="178" t="str">
        <f>IF(OR('Services - NHC'!E138="",'Services - NHC'!E138="[Enter service]"),"",'Services - NHC'!E138)</f>
        <v/>
      </c>
      <c r="F139" s="179" t="str">
        <f>IF(OR('Services - NHC'!F138="",'Services - NHC'!F138="[Select]"),"",'Services - NHC'!F138)</f>
        <v/>
      </c>
      <c r="G139" s="191">
        <f>IF('Revenue - NHC'!V140="","",'Revenue - NHC'!V140)</f>
        <v>0</v>
      </c>
      <c r="H139" s="191">
        <f>IF('Revenue - WHC'!V140="","",'Revenue - WHC'!V140)</f>
        <v>0</v>
      </c>
      <c r="I139" s="191">
        <f>IF('Expenditure- NHC'!R139="","",'Expenditure- NHC'!R139)</f>
        <v>0</v>
      </c>
      <c r="J139" s="190">
        <f>IF('Expenditure - WHC'!R139="","",'Expenditure - WHC'!R139)</f>
        <v>0</v>
      </c>
      <c r="K139" s="207">
        <f t="shared" si="22"/>
        <v>0</v>
      </c>
      <c r="L139" s="211">
        <f t="shared" si="23"/>
        <v>0</v>
      </c>
      <c r="M139" s="205"/>
      <c r="N139" s="206"/>
    </row>
    <row r="140" spans="3:14" hidden="1" outlineLevel="1" x14ac:dyDescent="0.2">
      <c r="C140" s="13"/>
      <c r="D140" s="19">
        <f t="shared" si="21"/>
        <v>130</v>
      </c>
      <c r="E140" s="178" t="str">
        <f>IF(OR('Services - NHC'!E139="",'Services - NHC'!E139="[Enter service]"),"",'Services - NHC'!E139)</f>
        <v/>
      </c>
      <c r="F140" s="179" t="str">
        <f>IF(OR('Services - NHC'!F139="",'Services - NHC'!F139="[Select]"),"",'Services - NHC'!F139)</f>
        <v/>
      </c>
      <c r="G140" s="191">
        <f>IF('Revenue - NHC'!V141="","",'Revenue - NHC'!V141)</f>
        <v>0</v>
      </c>
      <c r="H140" s="191">
        <f>IF('Revenue - WHC'!V141="","",'Revenue - WHC'!V141)</f>
        <v>0</v>
      </c>
      <c r="I140" s="191">
        <f>IF('Expenditure- NHC'!R140="","",'Expenditure- NHC'!R140)</f>
        <v>0</v>
      </c>
      <c r="J140" s="190">
        <f>IF('Expenditure - WHC'!R140="","",'Expenditure - WHC'!R140)</f>
        <v>0</v>
      </c>
      <c r="K140" s="207">
        <f t="shared" si="22"/>
        <v>0</v>
      </c>
      <c r="L140" s="211">
        <f t="shared" si="23"/>
        <v>0</v>
      </c>
      <c r="M140" s="205"/>
      <c r="N140" s="206"/>
    </row>
    <row r="141" spans="3:14" hidden="1" outlineLevel="1" x14ac:dyDescent="0.2">
      <c r="C141" s="13"/>
      <c r="D141" s="19">
        <f t="shared" si="21"/>
        <v>131</v>
      </c>
      <c r="E141" s="178" t="str">
        <f>IF(OR('Services - NHC'!E140="",'Services - NHC'!E140="[Enter service]"),"",'Services - NHC'!E140)</f>
        <v/>
      </c>
      <c r="F141" s="179" t="str">
        <f>IF(OR('Services - NHC'!F140="",'Services - NHC'!F140="[Select]"),"",'Services - NHC'!F140)</f>
        <v/>
      </c>
      <c r="G141" s="191">
        <f>IF('Revenue - NHC'!V142="","",'Revenue - NHC'!V142)</f>
        <v>0</v>
      </c>
      <c r="H141" s="191">
        <f>IF('Revenue - WHC'!V142="","",'Revenue - WHC'!V142)</f>
        <v>0</v>
      </c>
      <c r="I141" s="191">
        <f>IF('Expenditure- NHC'!R141="","",'Expenditure- NHC'!R141)</f>
        <v>0</v>
      </c>
      <c r="J141" s="190">
        <f>IF('Expenditure - WHC'!R141="","",'Expenditure - WHC'!R141)</f>
        <v>0</v>
      </c>
      <c r="K141" s="207">
        <f t="shared" si="22"/>
        <v>0</v>
      </c>
      <c r="L141" s="211">
        <f t="shared" si="23"/>
        <v>0</v>
      </c>
      <c r="M141" s="205"/>
      <c r="N141" s="206"/>
    </row>
    <row r="142" spans="3:14" hidden="1" outlineLevel="1" x14ac:dyDescent="0.2">
      <c r="C142" s="13"/>
      <c r="D142" s="19">
        <f t="shared" si="21"/>
        <v>132</v>
      </c>
      <c r="E142" s="178" t="str">
        <f>IF(OR('Services - NHC'!E141="",'Services - NHC'!E141="[Enter service]"),"",'Services - NHC'!E141)</f>
        <v/>
      </c>
      <c r="F142" s="179" t="str">
        <f>IF(OR('Services - NHC'!F141="",'Services - NHC'!F141="[Select]"),"",'Services - NHC'!F141)</f>
        <v/>
      </c>
      <c r="G142" s="191">
        <f>IF('Revenue - NHC'!V143="","",'Revenue - NHC'!V143)</f>
        <v>0</v>
      </c>
      <c r="H142" s="191">
        <f>IF('Revenue - WHC'!V143="","",'Revenue - WHC'!V143)</f>
        <v>0</v>
      </c>
      <c r="I142" s="191">
        <f>IF('Expenditure- NHC'!R142="","",'Expenditure- NHC'!R142)</f>
        <v>0</v>
      </c>
      <c r="J142" s="190">
        <f>IF('Expenditure - WHC'!R142="","",'Expenditure - WHC'!R142)</f>
        <v>0</v>
      </c>
      <c r="K142" s="207">
        <f t="shared" si="22"/>
        <v>0</v>
      </c>
      <c r="L142" s="211">
        <f t="shared" si="23"/>
        <v>0</v>
      </c>
      <c r="M142" s="205"/>
      <c r="N142" s="206"/>
    </row>
    <row r="143" spans="3:14" hidden="1" outlineLevel="1" x14ac:dyDescent="0.2">
      <c r="C143" s="13"/>
      <c r="D143" s="19">
        <f t="shared" si="21"/>
        <v>133</v>
      </c>
      <c r="E143" s="178" t="str">
        <f>IF(OR('Services - NHC'!E142="",'Services - NHC'!E142="[Enter service]"),"",'Services - NHC'!E142)</f>
        <v/>
      </c>
      <c r="F143" s="179" t="str">
        <f>IF(OR('Services - NHC'!F142="",'Services - NHC'!F142="[Select]"),"",'Services - NHC'!F142)</f>
        <v/>
      </c>
      <c r="G143" s="191">
        <f>IF('Revenue - NHC'!V144="","",'Revenue - NHC'!V144)</f>
        <v>0</v>
      </c>
      <c r="H143" s="191">
        <f>IF('Revenue - WHC'!V144="","",'Revenue - WHC'!V144)</f>
        <v>0</v>
      </c>
      <c r="I143" s="191">
        <f>IF('Expenditure- NHC'!R143="","",'Expenditure- NHC'!R143)</f>
        <v>0</v>
      </c>
      <c r="J143" s="190">
        <f>IF('Expenditure - WHC'!R143="","",'Expenditure - WHC'!R143)</f>
        <v>0</v>
      </c>
      <c r="K143" s="207">
        <f t="shared" si="22"/>
        <v>0</v>
      </c>
      <c r="L143" s="211">
        <f t="shared" si="23"/>
        <v>0</v>
      </c>
      <c r="M143" s="205"/>
      <c r="N143" s="206"/>
    </row>
    <row r="144" spans="3:14" hidden="1" outlineLevel="1" x14ac:dyDescent="0.2">
      <c r="C144" s="13"/>
      <c r="D144" s="19">
        <f t="shared" ref="D144:D150" si="24">D143+1</f>
        <v>134</v>
      </c>
      <c r="E144" s="178" t="str">
        <f>IF(OR('Services - NHC'!E143="",'Services - NHC'!E143="[Enter service]"),"",'Services - NHC'!E143)</f>
        <v/>
      </c>
      <c r="F144" s="179" t="str">
        <f>IF(OR('Services - NHC'!F143="",'Services - NHC'!F143="[Select]"),"",'Services - NHC'!F143)</f>
        <v/>
      </c>
      <c r="G144" s="191">
        <f>IF('Revenue - NHC'!V145="","",'Revenue - NHC'!V145)</f>
        <v>0</v>
      </c>
      <c r="H144" s="191">
        <f>IF('Revenue - WHC'!V145="","",'Revenue - WHC'!V145)</f>
        <v>0</v>
      </c>
      <c r="I144" s="191">
        <f>IF('Expenditure- NHC'!R144="","",'Expenditure- NHC'!R144)</f>
        <v>0</v>
      </c>
      <c r="J144" s="190">
        <f>IF('Expenditure - WHC'!R144="","",'Expenditure - WHC'!R144)</f>
        <v>0</v>
      </c>
      <c r="K144" s="207">
        <f t="shared" si="22"/>
        <v>0</v>
      </c>
      <c r="L144" s="211">
        <f t="shared" si="23"/>
        <v>0</v>
      </c>
      <c r="M144" s="205"/>
      <c r="N144" s="206"/>
    </row>
    <row r="145" spans="3:35" hidden="1" outlineLevel="1" x14ac:dyDescent="0.2">
      <c r="C145" s="13"/>
      <c r="D145" s="19">
        <f t="shared" si="24"/>
        <v>135</v>
      </c>
      <c r="E145" s="178" t="str">
        <f>IF(OR('Services - NHC'!E144="",'Services - NHC'!E144="[Enter service]"),"",'Services - NHC'!E144)</f>
        <v/>
      </c>
      <c r="F145" s="179" t="str">
        <f>IF(OR('Services - NHC'!F144="",'Services - NHC'!F144="[Select]"),"",'Services - NHC'!F144)</f>
        <v/>
      </c>
      <c r="G145" s="191">
        <f>IF('Revenue - NHC'!V146="","",'Revenue - NHC'!V146)</f>
        <v>0</v>
      </c>
      <c r="H145" s="191">
        <f>IF('Revenue - WHC'!V146="","",'Revenue - WHC'!V146)</f>
        <v>0</v>
      </c>
      <c r="I145" s="191">
        <f>IF('Expenditure- NHC'!R145="","",'Expenditure- NHC'!R145)</f>
        <v>0</v>
      </c>
      <c r="J145" s="190">
        <f>IF('Expenditure - WHC'!R145="","",'Expenditure - WHC'!R145)</f>
        <v>0</v>
      </c>
      <c r="K145" s="207">
        <f t="shared" si="22"/>
        <v>0</v>
      </c>
      <c r="L145" s="211">
        <f t="shared" si="23"/>
        <v>0</v>
      </c>
      <c r="M145" s="205"/>
      <c r="N145" s="206"/>
    </row>
    <row r="146" spans="3:35" hidden="1" outlineLevel="1" x14ac:dyDescent="0.2">
      <c r="C146" s="13"/>
      <c r="D146" s="19">
        <f t="shared" si="24"/>
        <v>136</v>
      </c>
      <c r="E146" s="178" t="str">
        <f>IF(OR('Services - NHC'!E145="",'Services - NHC'!E145="[Enter service]"),"",'Services - NHC'!E145)</f>
        <v/>
      </c>
      <c r="F146" s="179" t="str">
        <f>IF(OR('Services - NHC'!F145="",'Services - NHC'!F145="[Select]"),"",'Services - NHC'!F145)</f>
        <v/>
      </c>
      <c r="G146" s="191">
        <f>IF('Revenue - NHC'!V147="","",'Revenue - NHC'!V147)</f>
        <v>0</v>
      </c>
      <c r="H146" s="191">
        <f>IF('Revenue - WHC'!V147="","",'Revenue - WHC'!V147)</f>
        <v>0</v>
      </c>
      <c r="I146" s="191">
        <f>IF('Expenditure- NHC'!R146="","",'Expenditure- NHC'!R146)</f>
        <v>0</v>
      </c>
      <c r="J146" s="190">
        <f>IF('Expenditure - WHC'!R146="","",'Expenditure - WHC'!R146)</f>
        <v>0</v>
      </c>
      <c r="K146" s="207">
        <f t="shared" si="22"/>
        <v>0</v>
      </c>
      <c r="L146" s="211">
        <f t="shared" si="23"/>
        <v>0</v>
      </c>
      <c r="M146" s="205"/>
      <c r="N146" s="206"/>
    </row>
    <row r="147" spans="3:35" hidden="1" outlineLevel="1" x14ac:dyDescent="0.2">
      <c r="C147" s="13"/>
      <c r="D147" s="19">
        <f t="shared" si="24"/>
        <v>137</v>
      </c>
      <c r="E147" s="178" t="str">
        <f>IF(OR('Services - NHC'!E146="",'Services - NHC'!E146="[Enter service]"),"",'Services - NHC'!E146)</f>
        <v/>
      </c>
      <c r="F147" s="179" t="str">
        <f>IF(OR('Services - NHC'!F146="",'Services - NHC'!F146="[Select]"),"",'Services - NHC'!F146)</f>
        <v/>
      </c>
      <c r="G147" s="191">
        <f>IF('Revenue - NHC'!V148="","",'Revenue - NHC'!V148)</f>
        <v>0</v>
      </c>
      <c r="H147" s="191">
        <f>IF('Revenue - WHC'!V148="","",'Revenue - WHC'!V148)</f>
        <v>0</v>
      </c>
      <c r="I147" s="191">
        <f>IF('Expenditure- NHC'!R147="","",'Expenditure- NHC'!R147)</f>
        <v>0</v>
      </c>
      <c r="J147" s="190">
        <f>IF('Expenditure - WHC'!R147="","",'Expenditure - WHC'!R147)</f>
        <v>0</v>
      </c>
      <c r="K147" s="207">
        <f t="shared" si="22"/>
        <v>0</v>
      </c>
      <c r="L147" s="211">
        <f t="shared" si="23"/>
        <v>0</v>
      </c>
      <c r="M147" s="205"/>
      <c r="N147" s="206"/>
    </row>
    <row r="148" spans="3:35" hidden="1" outlineLevel="1" x14ac:dyDescent="0.2">
      <c r="C148" s="13"/>
      <c r="D148" s="19">
        <f t="shared" si="24"/>
        <v>138</v>
      </c>
      <c r="E148" s="178" t="str">
        <f>IF(OR('Services - NHC'!E147="",'Services - NHC'!E147="[Enter service]"),"",'Services - NHC'!E147)</f>
        <v/>
      </c>
      <c r="F148" s="179" t="str">
        <f>IF(OR('Services - NHC'!F147="",'Services - NHC'!F147="[Select]"),"",'Services - NHC'!F147)</f>
        <v/>
      </c>
      <c r="G148" s="191">
        <f>IF('Revenue - NHC'!V149="","",'Revenue - NHC'!V149)</f>
        <v>0</v>
      </c>
      <c r="H148" s="191">
        <f>IF('Revenue - WHC'!V149="","",'Revenue - WHC'!V149)</f>
        <v>0</v>
      </c>
      <c r="I148" s="191">
        <f>IF('Expenditure- NHC'!R148="","",'Expenditure- NHC'!R148)</f>
        <v>0</v>
      </c>
      <c r="J148" s="190">
        <f>IF('Expenditure - WHC'!R148="","",'Expenditure - WHC'!R148)</f>
        <v>0</v>
      </c>
      <c r="K148" s="207">
        <f t="shared" si="22"/>
        <v>0</v>
      </c>
      <c r="L148" s="211">
        <f t="shared" si="23"/>
        <v>0</v>
      </c>
      <c r="M148" s="205"/>
      <c r="N148" s="206"/>
    </row>
    <row r="149" spans="3:35" hidden="1" outlineLevel="1" x14ac:dyDescent="0.2">
      <c r="C149" s="13"/>
      <c r="D149" s="19">
        <f t="shared" si="24"/>
        <v>139</v>
      </c>
      <c r="E149" s="178" t="str">
        <f>IF(OR('Services - NHC'!E148="",'Services - NHC'!E148="[Enter service]"),"",'Services - NHC'!E148)</f>
        <v/>
      </c>
      <c r="F149" s="179" t="str">
        <f>IF(OR('Services - NHC'!F148="",'Services - NHC'!F148="[Select]"),"",'Services - NHC'!F148)</f>
        <v/>
      </c>
      <c r="G149" s="191">
        <f>IF('Revenue - NHC'!V150="","",'Revenue - NHC'!V150)</f>
        <v>0</v>
      </c>
      <c r="H149" s="191">
        <f>IF('Revenue - WHC'!V150="","",'Revenue - WHC'!V150)</f>
        <v>0</v>
      </c>
      <c r="I149" s="191">
        <f>IF('Expenditure- NHC'!R149="","",'Expenditure- NHC'!R149)</f>
        <v>0</v>
      </c>
      <c r="J149" s="190">
        <f>IF('Expenditure - WHC'!R149="","",'Expenditure - WHC'!R149)</f>
        <v>0</v>
      </c>
      <c r="K149" s="207">
        <f t="shared" si="22"/>
        <v>0</v>
      </c>
      <c r="L149" s="211">
        <f t="shared" si="23"/>
        <v>0</v>
      </c>
      <c r="M149" s="205"/>
      <c r="N149" s="206"/>
    </row>
    <row r="150" spans="3:35" hidden="1" outlineLevel="1" x14ac:dyDescent="0.2">
      <c r="C150" s="13"/>
      <c r="D150" s="19">
        <f t="shared" si="24"/>
        <v>140</v>
      </c>
      <c r="E150" s="178" t="str">
        <f>IF(OR('Services - NHC'!E149="",'Services - NHC'!E149="[Enter service]"),"",'Services - NHC'!E149)</f>
        <v/>
      </c>
      <c r="F150" s="179" t="str">
        <f>IF(OR('Services - NHC'!F149="",'Services - NHC'!F149="[Select]"),"",'Services - NHC'!F149)</f>
        <v/>
      </c>
      <c r="G150" s="191">
        <f>IF('Revenue - NHC'!V151="","",'Revenue - NHC'!V151)</f>
        <v>0</v>
      </c>
      <c r="H150" s="191">
        <f>IF('Revenue - WHC'!V151="","",'Revenue - WHC'!V151)</f>
        <v>0</v>
      </c>
      <c r="I150" s="191">
        <f>IF('Expenditure- NHC'!R150="","",'Expenditure- NHC'!R150)</f>
        <v>0</v>
      </c>
      <c r="J150" s="190">
        <f>IF('Expenditure - WHC'!R150="","",'Expenditure - WHC'!R150)</f>
        <v>0</v>
      </c>
      <c r="K150" s="207">
        <f t="shared" si="22"/>
        <v>0</v>
      </c>
      <c r="L150" s="211">
        <f t="shared" si="23"/>
        <v>0</v>
      </c>
      <c r="M150" s="205"/>
      <c r="N150" s="206"/>
    </row>
    <row r="151" spans="3:35" collapsed="1" x14ac:dyDescent="0.2">
      <c r="C151" s="13"/>
      <c r="D151" s="19"/>
      <c r="E151" s="178" t="str">
        <f>'Revenue - NHC'!E152</f>
        <v>Other</v>
      </c>
      <c r="F151" s="179"/>
      <c r="G151" s="191">
        <f>IF('Revenue - NHC'!V152="","",'Revenue - NHC'!V152)</f>
        <v>0</v>
      </c>
      <c r="H151" s="191">
        <f>IF('Revenue - WHC'!V152="","",'Revenue - WHC'!V152)</f>
        <v>0</v>
      </c>
      <c r="I151" s="191">
        <f>IF('Expenditure- NHC'!R151="","",'Expenditure- NHC'!R151)</f>
        <v>0</v>
      </c>
      <c r="J151" s="190">
        <f>IF('Expenditure - WHC'!R151="","",'Expenditure - WHC'!R151)</f>
        <v>0</v>
      </c>
      <c r="K151" s="207">
        <f>IFERROR(H151-G151,"")</f>
        <v>0</v>
      </c>
      <c r="L151" s="211">
        <f>IFERROR(J151-I151,"")</f>
        <v>0</v>
      </c>
      <c r="M151" s="205"/>
      <c r="N151" s="206"/>
    </row>
    <row r="152" spans="3:35" x14ac:dyDescent="0.2">
      <c r="C152" s="13"/>
      <c r="D152" s="19"/>
      <c r="E152" s="180" t="s">
        <v>159</v>
      </c>
      <c r="F152" s="181"/>
      <c r="G152" s="192" t="str">
        <f>IF('Revenue - NHC'!U153="","",'Revenue - NHC'!U153)</f>
        <v/>
      </c>
      <c r="H152" s="192" t="str">
        <f>IF('Revenue - WHC'!U153="","",'Revenue - WHC'!U153)</f>
        <v/>
      </c>
      <c r="I152" s="201"/>
      <c r="J152" s="202"/>
      <c r="K152" s="212" t="str">
        <f>IFERROR(H152-G152,"")</f>
        <v/>
      </c>
      <c r="L152" s="213"/>
      <c r="M152" s="205"/>
      <c r="N152" s="206"/>
    </row>
    <row r="153" spans="3:35" x14ac:dyDescent="0.2">
      <c r="C153" s="13"/>
      <c r="D153" s="19"/>
      <c r="E153" s="81"/>
      <c r="F153" s="55" t="s">
        <v>87</v>
      </c>
      <c r="G153" s="193">
        <f t="shared" ref="G153:L153" si="25">SUM(G11:G152)</f>
        <v>5953081.0621519536</v>
      </c>
      <c r="H153" s="193">
        <f t="shared" si="25"/>
        <v>5958081.0621519536</v>
      </c>
      <c r="I153" s="193">
        <f t="shared" si="25"/>
        <v>10911542.583549999</v>
      </c>
      <c r="J153" s="193">
        <f t="shared" si="25"/>
        <v>10948942.583549999</v>
      </c>
      <c r="K153" s="214">
        <f t="shared" si="25"/>
        <v>5000</v>
      </c>
      <c r="L153" s="214">
        <f t="shared" si="25"/>
        <v>37400</v>
      </c>
      <c r="M153" s="205"/>
      <c r="N153" s="206"/>
    </row>
    <row r="154" spans="3:35" ht="13.5" thickBot="1" x14ac:dyDescent="0.25">
      <c r="C154" s="32"/>
      <c r="D154" s="33"/>
      <c r="E154" s="82"/>
      <c r="F154" s="56"/>
      <c r="G154" s="90"/>
      <c r="H154" s="173"/>
      <c r="I154" s="173"/>
      <c r="J154" s="93"/>
      <c r="K154" s="175"/>
      <c r="L154" s="58"/>
      <c r="M154" s="48"/>
    </row>
    <row r="155" spans="3:35" x14ac:dyDescent="0.2">
      <c r="J155" s="94"/>
      <c r="K155" s="94"/>
      <c r="L155" s="59"/>
    </row>
    <row r="156" spans="3:35" x14ac:dyDescent="0.2">
      <c r="J156" s="94"/>
      <c r="K156" s="94"/>
      <c r="L156" s="59"/>
    </row>
    <row r="157" spans="3:35" ht="15.75" thickBot="1" x14ac:dyDescent="0.25">
      <c r="C157" s="200"/>
      <c r="D157" s="200"/>
      <c r="E157" s="220" t="s">
        <v>345</v>
      </c>
      <c r="Q157" s="220" t="s">
        <v>346</v>
      </c>
    </row>
    <row r="158" spans="3:35" x14ac:dyDescent="0.2">
      <c r="C158" s="9"/>
      <c r="D158" s="10"/>
      <c r="E158" s="80"/>
      <c r="F158" s="53"/>
      <c r="G158" s="89"/>
      <c r="H158" s="89"/>
      <c r="I158" s="89"/>
      <c r="J158" s="92"/>
      <c r="K158" s="92"/>
      <c r="L158" s="11"/>
      <c r="M158" s="47"/>
      <c r="P158" s="9"/>
      <c r="Q158" s="10"/>
      <c r="R158" s="80"/>
      <c r="S158" s="53"/>
      <c r="T158" s="89"/>
      <c r="U158" s="89"/>
      <c r="V158" s="89"/>
      <c r="W158" s="92"/>
      <c r="X158" s="92"/>
      <c r="Y158" s="92"/>
      <c r="Z158" s="92"/>
      <c r="AA158" s="92"/>
      <c r="AB158" s="92"/>
      <c r="AC158" s="92"/>
      <c r="AD158" s="92"/>
      <c r="AE158" s="92"/>
      <c r="AF158" s="92"/>
      <c r="AG158" s="92"/>
      <c r="AH158" s="92"/>
      <c r="AI158" s="47"/>
    </row>
    <row r="159" spans="3:35" x14ac:dyDescent="0.2">
      <c r="C159" s="13"/>
      <c r="D159" s="14"/>
      <c r="E159" s="81"/>
      <c r="F159" s="54"/>
      <c r="G159" s="149"/>
      <c r="H159" s="149"/>
      <c r="I159" s="149"/>
      <c r="J159" s="95"/>
      <c r="K159" s="95"/>
      <c r="L159" s="15"/>
      <c r="M159" s="31"/>
      <c r="P159" s="13"/>
      <c r="Q159" s="14"/>
      <c r="AI159" s="31"/>
    </row>
    <row r="160" spans="3:35" x14ac:dyDescent="0.2">
      <c r="C160" s="13"/>
      <c r="D160" s="14"/>
      <c r="E160" s="81"/>
      <c r="F160" s="54"/>
      <c r="G160" s="855" t="s">
        <v>152</v>
      </c>
      <c r="H160" s="855"/>
      <c r="I160" s="855" t="s">
        <v>155</v>
      </c>
      <c r="J160" s="855"/>
      <c r="K160" s="855" t="s">
        <v>93</v>
      </c>
      <c r="L160" s="855"/>
      <c r="M160" s="31"/>
      <c r="P160" s="13"/>
      <c r="Q160" s="81"/>
      <c r="R160" s="194"/>
      <c r="S160" s="194"/>
      <c r="T160" s="440" t="s">
        <v>156</v>
      </c>
      <c r="U160" s="194"/>
      <c r="V160" s="194"/>
      <c r="W160" s="185"/>
      <c r="X160" s="185"/>
      <c r="Y160" s="185" t="s">
        <v>157</v>
      </c>
      <c r="Z160" s="185"/>
      <c r="AA160" s="185"/>
      <c r="AB160" s="185"/>
      <c r="AC160" s="81"/>
      <c r="AD160" s="194"/>
      <c r="AE160" s="194"/>
      <c r="AF160" s="194"/>
      <c r="AG160" s="194"/>
      <c r="AH160" s="185"/>
      <c r="AI160" s="31"/>
    </row>
    <row r="161" spans="1:35" ht="25.5" x14ac:dyDescent="0.2">
      <c r="C161" s="13"/>
      <c r="D161" s="14"/>
      <c r="E161" s="63" t="s">
        <v>92</v>
      </c>
      <c r="F161" s="439" t="s">
        <v>113</v>
      </c>
      <c r="G161" s="87" t="s">
        <v>347</v>
      </c>
      <c r="H161" s="172" t="s">
        <v>154</v>
      </c>
      <c r="I161" s="87" t="s">
        <v>347</v>
      </c>
      <c r="J161" s="172" t="s">
        <v>154</v>
      </c>
      <c r="K161" s="172" t="s">
        <v>89</v>
      </c>
      <c r="L161" s="62" t="s">
        <v>155</v>
      </c>
      <c r="M161" s="31"/>
      <c r="P161" s="13"/>
      <c r="Q161" s="81"/>
      <c r="R161" s="196" t="s">
        <v>103</v>
      </c>
      <c r="S161" s="196" t="s">
        <v>104</v>
      </c>
      <c r="T161" s="196" t="s">
        <v>105</v>
      </c>
      <c r="U161" s="196" t="s">
        <v>106</v>
      </c>
      <c r="V161" s="196" t="s">
        <v>87</v>
      </c>
      <c r="W161" s="197" t="s">
        <v>103</v>
      </c>
      <c r="X161" s="197" t="s">
        <v>104</v>
      </c>
      <c r="Y161" s="197" t="s">
        <v>105</v>
      </c>
      <c r="Z161" s="197" t="s">
        <v>106</v>
      </c>
      <c r="AA161" s="197" t="s">
        <v>87</v>
      </c>
      <c r="AB161" s="185"/>
      <c r="AC161" s="81"/>
      <c r="AD161" s="439" t="s">
        <v>103</v>
      </c>
      <c r="AE161" s="439" t="s">
        <v>104</v>
      </c>
      <c r="AF161" s="439" t="s">
        <v>105</v>
      </c>
      <c r="AG161" s="439" t="s">
        <v>106</v>
      </c>
      <c r="AH161" s="439" t="s">
        <v>87</v>
      </c>
      <c r="AI161" s="31"/>
    </row>
    <row r="162" spans="1:35" x14ac:dyDescent="0.2">
      <c r="C162" s="13"/>
      <c r="D162" s="14"/>
      <c r="F162" s="55"/>
      <c r="M162" s="31"/>
      <c r="P162" s="84"/>
      <c r="Q162" s="79"/>
      <c r="S162" s="79"/>
      <c r="T162" s="79"/>
      <c r="U162" s="79"/>
      <c r="V162" s="79"/>
      <c r="X162" s="79"/>
      <c r="Y162" s="79"/>
      <c r="Z162" s="79"/>
      <c r="AA162" s="79"/>
      <c r="AB162" s="185"/>
      <c r="AC162" s="79"/>
      <c r="AE162" s="79"/>
      <c r="AF162" s="79"/>
      <c r="AG162" s="79"/>
      <c r="AH162" s="79"/>
      <c r="AI162" s="86"/>
    </row>
    <row r="163" spans="1:35" x14ac:dyDescent="0.2">
      <c r="C163" s="13"/>
      <c r="D163" s="19">
        <v>1</v>
      </c>
      <c r="E163" s="176" t="str">
        <f>IF(OR('Services - NHC'!E10="",'Services - NHC'!E10="[Enter service]"),"",'Services - NHC'!E10)</f>
        <v>Aged Services</v>
      </c>
      <c r="F163" s="177" t="str">
        <f>IF(OR('Services - NHC'!F10="",'Services - NHC'!F10="[Select]"),"",'Services - NHC'!F10)</f>
        <v>External</v>
      </c>
      <c r="G163" s="187">
        <f>IF('Revenue - Base year'!V12="","",'Revenue - Base year'!V12)</f>
        <v>502884.35</v>
      </c>
      <c r="H163" s="187">
        <f>H11</f>
        <v>502900</v>
      </c>
      <c r="I163" s="187">
        <f>IF('Expenditure - Base year'!R11="","",'Expenditure - Base year'!R11)</f>
        <v>650642.41999999993</v>
      </c>
      <c r="J163" s="188">
        <f>J11</f>
        <v>662500</v>
      </c>
      <c r="K163" s="203">
        <f>IFERROR(H163-G163,"")</f>
        <v>15.650000000023283</v>
      </c>
      <c r="L163" s="204">
        <f>IFERROR(J163-I163,"")</f>
        <v>11857.580000000075</v>
      </c>
      <c r="M163" s="205"/>
      <c r="N163" s="206"/>
      <c r="P163" s="13"/>
      <c r="Q163" s="198" t="str">
        <f>Q11</f>
        <v>Property</v>
      </c>
      <c r="R163" s="182">
        <f>SUM(R164:R169)</f>
        <v>76750</v>
      </c>
      <c r="S163" s="182">
        <f>SUM(S164:S169)</f>
        <v>242726.37799999997</v>
      </c>
      <c r="T163" s="182">
        <f>SUM(T164:T169)</f>
        <v>0</v>
      </c>
      <c r="U163" s="182">
        <f>SUM(U164:U169)</f>
        <v>115397.292</v>
      </c>
      <c r="V163" s="182">
        <f>SUM(V164:V169)</f>
        <v>434873.67</v>
      </c>
      <c r="W163" s="182">
        <f t="shared" ref="W163:AA172" si="26">W11</f>
        <v>406730.84524999995</v>
      </c>
      <c r="X163" s="182">
        <f t="shared" si="26"/>
        <v>378490.37225000001</v>
      </c>
      <c r="Y163" s="182">
        <f t="shared" si="26"/>
        <v>0</v>
      </c>
      <c r="Z163" s="182">
        <f t="shared" si="26"/>
        <v>553546.8075</v>
      </c>
      <c r="AA163" s="182">
        <f t="shared" si="26"/>
        <v>1338768.0249999999</v>
      </c>
      <c r="AB163" s="185"/>
      <c r="AC163" s="198" t="str">
        <f>Q163</f>
        <v>Property</v>
      </c>
      <c r="AD163" s="182">
        <f>SUM(AD164:AD169)</f>
        <v>329980.84524999995</v>
      </c>
      <c r="AE163" s="182">
        <f>SUM(AE164:AE169)</f>
        <v>135763.99425000005</v>
      </c>
      <c r="AF163" s="182">
        <f>SUM(AF164:AF169)</f>
        <v>0</v>
      </c>
      <c r="AG163" s="182">
        <f>SUM(AG164:AG169)</f>
        <v>438149.51549999998</v>
      </c>
      <c r="AH163" s="182">
        <f>SUM(AH164:AH169)</f>
        <v>903894.35499999998</v>
      </c>
      <c r="AI163" s="31"/>
    </row>
    <row r="164" spans="1:35" x14ac:dyDescent="0.2">
      <c r="C164" s="84"/>
      <c r="D164" s="85">
        <f>D163+1</f>
        <v>2</v>
      </c>
      <c r="E164" s="178" t="str">
        <f>IF(OR('Services - NHC'!E11="",'Services - NHC'!E11="[Enter service]"),"",'Services - NHC'!E11)</f>
        <v>Active Communities</v>
      </c>
      <c r="F164" s="179" t="str">
        <f>IF(OR('Services - NHC'!F11="",'Services - NHC'!F11="[Select]"),"",'Services - NHC'!F11)</f>
        <v>External</v>
      </c>
      <c r="G164" s="189">
        <f>IF('Revenue - Base year'!V13="","",'Revenue - Base year'!V13)</f>
        <v>2600</v>
      </c>
      <c r="H164" s="189">
        <f t="shared" ref="H164:H227" si="27">H12</f>
        <v>2600</v>
      </c>
      <c r="I164" s="189">
        <f>IF('Expenditure - Base year'!R12="","",'Expenditure - Base year'!R12)</f>
        <v>129233.60272727272</v>
      </c>
      <c r="J164" s="190">
        <f t="shared" ref="J164:J227" si="28">J12</f>
        <v>202700</v>
      </c>
      <c r="K164" s="207">
        <f t="shared" ref="K164:K227" si="29">IFERROR(H164-G164,"")</f>
        <v>0</v>
      </c>
      <c r="L164" s="208">
        <f t="shared" ref="L164:L227" si="30">IFERROR(J164-I164,"")</f>
        <v>73466.397272727278</v>
      </c>
      <c r="M164" s="209"/>
      <c r="N164" s="210"/>
      <c r="O164" s="83"/>
      <c r="P164" s="13"/>
      <c r="Q164" s="184" t="str">
        <f t="shared" ref="Q164:Q186" si="31">Q12</f>
        <v>Land</v>
      </c>
      <c r="R164" s="143">
        <f>IF('Assets - Base year'!N170="","0",'Assets - Base year'!N170)</f>
        <v>0</v>
      </c>
      <c r="S164" s="143">
        <f>IF('Assets - Base year'!O170="","0",'Assets - Base year'!O170)</f>
        <v>0</v>
      </c>
      <c r="T164" s="143">
        <f>IF('Assets - Base year'!P170="","0",'Assets - Base year'!P170)</f>
        <v>0</v>
      </c>
      <c r="U164" s="143">
        <f>IF('Assets - Base year'!Q170="","0",'Assets - Base year'!Q170)</f>
        <v>0</v>
      </c>
      <c r="V164" s="143">
        <f>IF('Assets - Base year'!R170="","0",'Assets - Base year'!R170)</f>
        <v>0</v>
      </c>
      <c r="W164" s="143">
        <f t="shared" si="26"/>
        <v>0</v>
      </c>
      <c r="X164" s="143">
        <f t="shared" si="26"/>
        <v>0</v>
      </c>
      <c r="Y164" s="143">
        <f t="shared" si="26"/>
        <v>0</v>
      </c>
      <c r="Z164" s="143">
        <f t="shared" si="26"/>
        <v>0</v>
      </c>
      <c r="AA164" s="143">
        <f t="shared" si="26"/>
        <v>0</v>
      </c>
      <c r="AB164" s="185"/>
      <c r="AC164" s="184" t="str">
        <f t="shared" ref="AC164:AC186" si="32">Q164</f>
        <v>Land</v>
      </c>
      <c r="AD164" s="143">
        <f t="shared" ref="AD164:AD169" si="33">W164-R164</f>
        <v>0</v>
      </c>
      <c r="AE164" s="143">
        <f t="shared" ref="AE164:AE169" si="34">X164-S164</f>
        <v>0</v>
      </c>
      <c r="AF164" s="143">
        <f t="shared" ref="AF164:AF169" si="35">Y164-T164</f>
        <v>0</v>
      </c>
      <c r="AG164" s="143">
        <f t="shared" ref="AG164:AG169" si="36">Z164-U164</f>
        <v>0</v>
      </c>
      <c r="AH164" s="143">
        <f t="shared" ref="AH164:AH169" si="37">AA164-V164</f>
        <v>0</v>
      </c>
      <c r="AI164" s="31"/>
    </row>
    <row r="165" spans="1:35" x14ac:dyDescent="0.2">
      <c r="C165" s="13"/>
      <c r="D165" s="19">
        <f>D164+1</f>
        <v>3</v>
      </c>
      <c r="E165" s="178" t="str">
        <f>IF(OR('Services - NHC'!E12="",'Services - NHC'!E12="[Enter service]"),"",'Services - NHC'!E12)</f>
        <v>Community Events</v>
      </c>
      <c r="F165" s="179" t="str">
        <f>IF(OR('Services - NHC'!F12="",'Services - NHC'!F12="[Select]"),"",'Services - NHC'!F12)</f>
        <v>External</v>
      </c>
      <c r="G165" s="189">
        <f>IF('Revenue - Base year'!V14="","",'Revenue - Base year'!V14)</f>
        <v>-45.45</v>
      </c>
      <c r="H165" s="189">
        <f t="shared" si="27"/>
        <v>0</v>
      </c>
      <c r="I165" s="189">
        <f>IF('Expenditure - Base year'!R13="","",'Expenditure - Base year'!R13)</f>
        <v>127500</v>
      </c>
      <c r="J165" s="190">
        <f t="shared" si="28"/>
        <v>104600</v>
      </c>
      <c r="K165" s="207">
        <f t="shared" si="29"/>
        <v>45.45</v>
      </c>
      <c r="L165" s="211">
        <f t="shared" si="30"/>
        <v>-22900</v>
      </c>
      <c r="M165" s="205"/>
      <c r="N165" s="206"/>
      <c r="P165" s="13"/>
      <c r="Q165" s="184" t="str">
        <f t="shared" si="31"/>
        <v>Land improvements</v>
      </c>
      <c r="R165" s="143">
        <f>IF('Assets - Base year'!N171="","0",'Assets - Base year'!N171)</f>
        <v>0</v>
      </c>
      <c r="S165" s="143">
        <f>IF('Assets - Base year'!O171="","0",'Assets - Base year'!O171)</f>
        <v>0</v>
      </c>
      <c r="T165" s="143">
        <f>IF('Assets - Base year'!P171="","0",'Assets - Base year'!P171)</f>
        <v>0</v>
      </c>
      <c r="U165" s="143">
        <f>IF('Assets - Base year'!Q171="","0",'Assets - Base year'!Q171)</f>
        <v>5000</v>
      </c>
      <c r="V165" s="143">
        <f>IF('Assets - Base year'!R171="","0",'Assets - Base year'!R171)</f>
        <v>5000</v>
      </c>
      <c r="W165" s="143">
        <f t="shared" si="26"/>
        <v>0</v>
      </c>
      <c r="X165" s="143">
        <f t="shared" si="26"/>
        <v>0</v>
      </c>
      <c r="Y165" s="143">
        <f t="shared" si="26"/>
        <v>0</v>
      </c>
      <c r="Z165" s="143">
        <f t="shared" si="26"/>
        <v>75505</v>
      </c>
      <c r="AA165" s="143">
        <f t="shared" si="26"/>
        <v>75505</v>
      </c>
      <c r="AB165" s="185"/>
      <c r="AC165" s="184" t="str">
        <f t="shared" si="32"/>
        <v>Land improvements</v>
      </c>
      <c r="AD165" s="143">
        <f t="shared" si="33"/>
        <v>0</v>
      </c>
      <c r="AE165" s="143">
        <f t="shared" si="34"/>
        <v>0</v>
      </c>
      <c r="AF165" s="143">
        <f t="shared" si="35"/>
        <v>0</v>
      </c>
      <c r="AG165" s="143">
        <f t="shared" si="36"/>
        <v>70505</v>
      </c>
      <c r="AH165" s="143">
        <f t="shared" si="37"/>
        <v>70505</v>
      </c>
      <c r="AI165" s="31"/>
    </row>
    <row r="166" spans="1:35" x14ac:dyDescent="0.2">
      <c r="C166" s="13"/>
      <c r="D166" s="19">
        <f>D165+1</f>
        <v>4</v>
      </c>
      <c r="E166" s="178" t="str">
        <f>IF(OR('Services - NHC'!E13="",'Services - NHC'!E13="[Enter service]"),"",'Services - NHC'!E13)</f>
        <v>Maternal and Child Health (MCH)</v>
      </c>
      <c r="F166" s="179" t="str">
        <f>IF(OR('Services - NHC'!F13="",'Services - NHC'!F13="[Select]"),"",'Services - NHC'!F13)</f>
        <v>External</v>
      </c>
      <c r="G166" s="191">
        <f>IF('Revenue - Base year'!V15="","",'Revenue - Base year'!V15)</f>
        <v>40400</v>
      </c>
      <c r="H166" s="191">
        <f t="shared" si="27"/>
        <v>41200</v>
      </c>
      <c r="I166" s="191">
        <f>IF('Expenditure - Base year'!R14="","",'Expenditure - Base year'!R14)</f>
        <v>60549.323999999993</v>
      </c>
      <c r="J166" s="190">
        <f t="shared" si="28"/>
        <v>62000</v>
      </c>
      <c r="K166" s="207">
        <f t="shared" si="29"/>
        <v>800</v>
      </c>
      <c r="L166" s="211">
        <f t="shared" si="30"/>
        <v>1450.6760000000068</v>
      </c>
      <c r="M166" s="205"/>
      <c r="N166" s="206"/>
      <c r="P166" s="13"/>
      <c r="Q166" s="184" t="str">
        <f t="shared" si="31"/>
        <v>Buildings</v>
      </c>
      <c r="R166" s="143">
        <f>IF('Assets - Base year'!N172="","0",'Assets - Base year'!N172)</f>
        <v>76750</v>
      </c>
      <c r="S166" s="143">
        <f>IF('Assets - Base year'!O172="","0",'Assets - Base year'!O172)</f>
        <v>242726.37799999997</v>
      </c>
      <c r="T166" s="143">
        <f>IF('Assets - Base year'!P172="","0",'Assets - Base year'!P172)</f>
        <v>0</v>
      </c>
      <c r="U166" s="143">
        <f>IF('Assets - Base year'!Q172="","0",'Assets - Base year'!Q172)</f>
        <v>110397.292</v>
      </c>
      <c r="V166" s="143">
        <f>IF('Assets - Base year'!R172="","0",'Assets - Base year'!R172)</f>
        <v>429873.67</v>
      </c>
      <c r="W166" s="143">
        <f t="shared" si="26"/>
        <v>406730.84524999995</v>
      </c>
      <c r="X166" s="143">
        <f t="shared" si="26"/>
        <v>378490.37225000001</v>
      </c>
      <c r="Y166" s="143">
        <f t="shared" si="26"/>
        <v>0</v>
      </c>
      <c r="Z166" s="143">
        <f t="shared" si="26"/>
        <v>478041.8075</v>
      </c>
      <c r="AA166" s="143">
        <f t="shared" si="26"/>
        <v>1263263.0249999999</v>
      </c>
      <c r="AB166" s="185"/>
      <c r="AC166" s="184" t="str">
        <f t="shared" si="32"/>
        <v>Buildings</v>
      </c>
      <c r="AD166" s="143">
        <f t="shared" si="33"/>
        <v>329980.84524999995</v>
      </c>
      <c r="AE166" s="143">
        <f t="shared" si="34"/>
        <v>135763.99425000005</v>
      </c>
      <c r="AF166" s="143">
        <f t="shared" si="35"/>
        <v>0</v>
      </c>
      <c r="AG166" s="143">
        <f t="shared" si="36"/>
        <v>367644.51549999998</v>
      </c>
      <c r="AH166" s="143">
        <f t="shared" si="37"/>
        <v>833389.35499999998</v>
      </c>
      <c r="AI166" s="31"/>
    </row>
    <row r="167" spans="1:35" x14ac:dyDescent="0.2">
      <c r="C167" s="13"/>
      <c r="D167" s="19">
        <f>D166+1</f>
        <v>5</v>
      </c>
      <c r="E167" s="178" t="str">
        <f>IF(OR('Services - NHC'!E14="",'Services - NHC'!E14="[Enter service]"),"",'Services - NHC'!E14)</f>
        <v>Kindergarten</v>
      </c>
      <c r="F167" s="179" t="str">
        <f>IF(OR('Services - NHC'!F14="",'Services - NHC'!F14="[Select]"),"",'Services - NHC'!F14)</f>
        <v>External</v>
      </c>
      <c r="G167" s="191">
        <f>IF('Revenue - Base year'!V16="","",'Revenue - Base year'!V16)</f>
        <v>0</v>
      </c>
      <c r="H167" s="191">
        <f t="shared" si="27"/>
        <v>0</v>
      </c>
      <c r="I167" s="191">
        <f>IF('Expenditure - Base year'!R15="","",'Expenditure - Base year'!R15)</f>
        <v>0</v>
      </c>
      <c r="J167" s="190">
        <f t="shared" si="28"/>
        <v>0</v>
      </c>
      <c r="K167" s="207">
        <f t="shared" si="29"/>
        <v>0</v>
      </c>
      <c r="L167" s="211">
        <f t="shared" si="30"/>
        <v>0</v>
      </c>
      <c r="M167" s="205"/>
      <c r="N167" s="206"/>
      <c r="P167" s="13"/>
      <c r="Q167" s="184" t="str">
        <f t="shared" si="31"/>
        <v>Heritage buildings</v>
      </c>
      <c r="R167" s="143">
        <f>IF('Assets - Base year'!N173="","0",'Assets - Base year'!N173)</f>
        <v>0</v>
      </c>
      <c r="S167" s="143">
        <f>IF('Assets - Base year'!O173="","0",'Assets - Base year'!O173)</f>
        <v>0</v>
      </c>
      <c r="T167" s="143">
        <f>IF('Assets - Base year'!P173="","0",'Assets - Base year'!P173)</f>
        <v>0</v>
      </c>
      <c r="U167" s="143">
        <f>IF('Assets - Base year'!Q173="","0",'Assets - Base year'!Q173)</f>
        <v>0</v>
      </c>
      <c r="V167" s="143">
        <f>IF('Assets - Base year'!R173="","0",'Assets - Base year'!R173)</f>
        <v>0</v>
      </c>
      <c r="W167" s="143">
        <f t="shared" si="26"/>
        <v>0</v>
      </c>
      <c r="X167" s="143">
        <f t="shared" si="26"/>
        <v>0</v>
      </c>
      <c r="Y167" s="143">
        <f t="shared" si="26"/>
        <v>0</v>
      </c>
      <c r="Z167" s="143">
        <f t="shared" si="26"/>
        <v>0</v>
      </c>
      <c r="AA167" s="143">
        <f t="shared" si="26"/>
        <v>0</v>
      </c>
      <c r="AB167" s="185"/>
      <c r="AC167" s="184" t="str">
        <f t="shared" si="32"/>
        <v>Heritage buildings</v>
      </c>
      <c r="AD167" s="143">
        <f t="shared" si="33"/>
        <v>0</v>
      </c>
      <c r="AE167" s="143">
        <f t="shared" si="34"/>
        <v>0</v>
      </c>
      <c r="AF167" s="143">
        <f t="shared" si="35"/>
        <v>0</v>
      </c>
      <c r="AG167" s="143">
        <f t="shared" si="36"/>
        <v>0</v>
      </c>
      <c r="AH167" s="143">
        <f t="shared" si="37"/>
        <v>0</v>
      </c>
      <c r="AI167" s="31"/>
    </row>
    <row r="168" spans="1:35" x14ac:dyDescent="0.2">
      <c r="C168" s="13"/>
      <c r="D168" s="85">
        <f t="shared" ref="D168:D231" si="38">D167+1</f>
        <v>6</v>
      </c>
      <c r="E168" s="178" t="str">
        <f>IF(OR('Services - NHC'!E15="",'Services - NHC'!E15="[Enter service]"),"",'Services - NHC'!E15)</f>
        <v>Environmental Health</v>
      </c>
      <c r="F168" s="179" t="str">
        <f>IF(OR('Services - NHC'!F15="",'Services - NHC'!F15="[Select]"),"",'Services - NHC'!F15)</f>
        <v>External</v>
      </c>
      <c r="G168" s="191">
        <f>IF('Revenue - Base year'!V17="","",'Revenue - Base year'!V17)</f>
        <v>32075</v>
      </c>
      <c r="H168" s="191">
        <f t="shared" si="27"/>
        <v>36000</v>
      </c>
      <c r="I168" s="191">
        <f>IF('Expenditure - Base year'!R16="","",'Expenditure - Base year'!R16)</f>
        <v>117555.12775292451</v>
      </c>
      <c r="J168" s="190">
        <f t="shared" si="28"/>
        <v>89710.219507982998</v>
      </c>
      <c r="K168" s="207">
        <f t="shared" si="29"/>
        <v>3925</v>
      </c>
      <c r="L168" s="211">
        <f t="shared" si="30"/>
        <v>-27844.908244941515</v>
      </c>
      <c r="M168" s="205"/>
      <c r="N168" s="206"/>
      <c r="P168" s="13"/>
      <c r="Q168" s="184" t="str">
        <f t="shared" si="31"/>
        <v>Building improvements</v>
      </c>
      <c r="R168" s="143">
        <f>IF('Assets - Base year'!N174="","0",'Assets - Base year'!N174)</f>
        <v>0</v>
      </c>
      <c r="S168" s="143">
        <f>IF('Assets - Base year'!O174="","0",'Assets - Base year'!O174)</f>
        <v>0</v>
      </c>
      <c r="T168" s="143">
        <f>IF('Assets - Base year'!P174="","0",'Assets - Base year'!P174)</f>
        <v>0</v>
      </c>
      <c r="U168" s="143">
        <f>IF('Assets - Base year'!Q174="","0",'Assets - Base year'!Q174)</f>
        <v>0</v>
      </c>
      <c r="V168" s="143">
        <f>IF('Assets - Base year'!R174="","0",'Assets - Base year'!R174)</f>
        <v>0</v>
      </c>
      <c r="W168" s="143">
        <f t="shared" si="26"/>
        <v>0</v>
      </c>
      <c r="X168" s="143">
        <f t="shared" si="26"/>
        <v>0</v>
      </c>
      <c r="Y168" s="143">
        <f t="shared" si="26"/>
        <v>0</v>
      </c>
      <c r="Z168" s="143">
        <f t="shared" si="26"/>
        <v>0</v>
      </c>
      <c r="AA168" s="143">
        <f t="shared" si="26"/>
        <v>0</v>
      </c>
      <c r="AB168" s="185"/>
      <c r="AC168" s="184" t="str">
        <f t="shared" si="32"/>
        <v>Building improvements</v>
      </c>
      <c r="AD168" s="143">
        <f t="shared" si="33"/>
        <v>0</v>
      </c>
      <c r="AE168" s="143">
        <f t="shared" si="34"/>
        <v>0</v>
      </c>
      <c r="AF168" s="143">
        <f t="shared" si="35"/>
        <v>0</v>
      </c>
      <c r="AG168" s="143">
        <f t="shared" si="36"/>
        <v>0</v>
      </c>
      <c r="AH168" s="143">
        <f t="shared" si="37"/>
        <v>0</v>
      </c>
      <c r="AI168" s="31"/>
    </row>
    <row r="169" spans="1:35" ht="25.5" x14ac:dyDescent="0.2">
      <c r="C169" s="13"/>
      <c r="D169" s="19">
        <f t="shared" si="38"/>
        <v>7</v>
      </c>
      <c r="E169" s="178" t="str">
        <f>IF(OR('Services - NHC'!E16="",'Services - NHC'!E16="[Enter service]"),"",'Services - NHC'!E16)</f>
        <v>Asset Management and Appearance of Public Places</v>
      </c>
      <c r="F169" s="179" t="str">
        <f>IF(OR('Services - NHC'!F16="",'Services - NHC'!F16="[Select]"),"",'Services - NHC'!F16)</f>
        <v>External</v>
      </c>
      <c r="G169" s="191">
        <f>IF('Revenue - Base year'!V18="","",'Revenue - Base year'!V18)</f>
        <v>60258.25</v>
      </c>
      <c r="H169" s="191">
        <f t="shared" si="27"/>
        <v>59200</v>
      </c>
      <c r="I169" s="191">
        <f>IF('Expenditure - Base year'!R17="","",'Expenditure - Base year'!R17)</f>
        <v>1036615.09</v>
      </c>
      <c r="J169" s="190">
        <f t="shared" si="28"/>
        <v>1066787.79</v>
      </c>
      <c r="K169" s="207">
        <f t="shared" si="29"/>
        <v>-1058.25</v>
      </c>
      <c r="L169" s="211">
        <f t="shared" si="30"/>
        <v>30172.70000000007</v>
      </c>
      <c r="M169" s="205"/>
      <c r="N169" s="206"/>
      <c r="P169" s="13"/>
      <c r="Q169" s="184" t="str">
        <f t="shared" si="31"/>
        <v>Leasthold improvements</v>
      </c>
      <c r="R169" s="143">
        <f>IF('Assets - Base year'!N175="","0",'Assets - Base year'!N175)</f>
        <v>0</v>
      </c>
      <c r="S169" s="143">
        <f>IF('Assets - Base year'!O175="","0",'Assets - Base year'!O175)</f>
        <v>0</v>
      </c>
      <c r="T169" s="143">
        <f>IF('Assets - Base year'!P175="","0",'Assets - Base year'!P175)</f>
        <v>0</v>
      </c>
      <c r="U169" s="143">
        <f>IF('Assets - Base year'!Q175="","0",'Assets - Base year'!Q175)</f>
        <v>0</v>
      </c>
      <c r="V169" s="143">
        <f>IF('Assets - Base year'!R175="","0",'Assets - Base year'!R175)</f>
        <v>0</v>
      </c>
      <c r="W169" s="143">
        <f t="shared" si="26"/>
        <v>0</v>
      </c>
      <c r="X169" s="143">
        <f t="shared" si="26"/>
        <v>0</v>
      </c>
      <c r="Y169" s="143">
        <f t="shared" si="26"/>
        <v>0</v>
      </c>
      <c r="Z169" s="143">
        <f t="shared" si="26"/>
        <v>0</v>
      </c>
      <c r="AA169" s="143">
        <f t="shared" si="26"/>
        <v>0</v>
      </c>
      <c r="AB169" s="185"/>
      <c r="AC169" s="184" t="str">
        <f t="shared" si="32"/>
        <v>Leasthold improvements</v>
      </c>
      <c r="AD169" s="143">
        <f t="shared" si="33"/>
        <v>0</v>
      </c>
      <c r="AE169" s="143">
        <f t="shared" si="34"/>
        <v>0</v>
      </c>
      <c r="AF169" s="143">
        <f t="shared" si="35"/>
        <v>0</v>
      </c>
      <c r="AG169" s="143">
        <f t="shared" si="36"/>
        <v>0</v>
      </c>
      <c r="AH169" s="143">
        <f t="shared" si="37"/>
        <v>0</v>
      </c>
      <c r="AI169" s="31"/>
    </row>
    <row r="170" spans="1:35" ht="12.75" customHeight="1" x14ac:dyDescent="0.2">
      <c r="C170" s="13"/>
      <c r="D170" s="19">
        <f t="shared" si="38"/>
        <v>8</v>
      </c>
      <c r="E170" s="178" t="str">
        <f>IF(OR('Services - NHC'!E17="",'Services - NHC'!E17="[Enter service]"),"",'Services - NHC'!E17)</f>
        <v>Local Laws, Safety and Amenity</v>
      </c>
      <c r="F170" s="179" t="str">
        <f>IF(OR('Services - NHC'!F17="",'Services - NHC'!F17="[Select]"),"",'Services - NHC'!F17)</f>
        <v>External</v>
      </c>
      <c r="G170" s="191">
        <f>IF('Revenue - Base year'!V19="","",'Revenue - Base year'!V19)</f>
        <v>66844</v>
      </c>
      <c r="H170" s="191">
        <f t="shared" si="27"/>
        <v>66800</v>
      </c>
      <c r="I170" s="191">
        <f>IF('Expenditure - Base year'!R18="","",'Expenditure - Base year'!R18)</f>
        <v>282661.53000000003</v>
      </c>
      <c r="J170" s="190">
        <f t="shared" si="28"/>
        <v>304400</v>
      </c>
      <c r="K170" s="207">
        <f t="shared" si="29"/>
        <v>-44</v>
      </c>
      <c r="L170" s="211">
        <f t="shared" si="30"/>
        <v>21738.469999999972</v>
      </c>
      <c r="M170" s="205"/>
      <c r="N170" s="206"/>
      <c r="P170" s="13"/>
      <c r="Q170" s="198" t="str">
        <f t="shared" si="31"/>
        <v>Plant and equipment</v>
      </c>
      <c r="R170" s="183">
        <f>SUM(R171:R175)</f>
        <v>163863.82999999999</v>
      </c>
      <c r="S170" s="183">
        <f>SUM(S171:S175)</f>
        <v>228800</v>
      </c>
      <c r="T170" s="183">
        <f>SUM(T171:T175)</f>
        <v>0</v>
      </c>
      <c r="U170" s="183">
        <f>SUM(U171:U175)</f>
        <v>0</v>
      </c>
      <c r="V170" s="183">
        <f>SUM(V171:V175)</f>
        <v>392663.82999999996</v>
      </c>
      <c r="W170" s="183">
        <f t="shared" si="26"/>
        <v>0</v>
      </c>
      <c r="X170" s="183">
        <f t="shared" si="26"/>
        <v>200000</v>
      </c>
      <c r="Y170" s="183">
        <f t="shared" si="26"/>
        <v>0</v>
      </c>
      <c r="Z170" s="183">
        <f t="shared" si="26"/>
        <v>0</v>
      </c>
      <c r="AA170" s="183">
        <f t="shared" si="26"/>
        <v>200000</v>
      </c>
      <c r="AB170" s="185"/>
      <c r="AC170" s="198" t="str">
        <f t="shared" si="32"/>
        <v>Plant and equipment</v>
      </c>
      <c r="AD170" s="183">
        <f>SUM(AD171:AD175)</f>
        <v>-163863.82999999999</v>
      </c>
      <c r="AE170" s="183">
        <f>SUM(AE171:AE175)</f>
        <v>-28800</v>
      </c>
      <c r="AF170" s="183">
        <f>SUM(AF171:AF175)</f>
        <v>0</v>
      </c>
      <c r="AG170" s="183">
        <f>SUM(AG171:AG175)</f>
        <v>0</v>
      </c>
      <c r="AH170" s="183">
        <f>SUM(AH171:AH175)</f>
        <v>-192663.83</v>
      </c>
      <c r="AI170" s="31"/>
    </row>
    <row r="171" spans="1:35" x14ac:dyDescent="0.2">
      <c r="C171" s="13"/>
      <c r="D171" s="19">
        <f t="shared" si="38"/>
        <v>9</v>
      </c>
      <c r="E171" s="178" t="str">
        <f>IF(OR('Services - NHC'!E18="",'Services - NHC'!E18="[Enter service]"),"",'Services - NHC'!E18)</f>
        <v>Street Lighting</v>
      </c>
      <c r="F171" s="179" t="str">
        <f>IF(OR('Services - NHC'!F18="",'Services - NHC'!F18="[Select]"),"",'Services - NHC'!F18)</f>
        <v>External</v>
      </c>
      <c r="G171" s="191">
        <f>IF('Revenue - Base year'!V20="","",'Revenue - Base year'!V20)</f>
        <v>0</v>
      </c>
      <c r="H171" s="191">
        <f t="shared" si="27"/>
        <v>0</v>
      </c>
      <c r="I171" s="191">
        <f>IF('Expenditure - Base year'!R19="","",'Expenditure - Base year'!R19)</f>
        <v>43800</v>
      </c>
      <c r="J171" s="190">
        <f t="shared" si="28"/>
        <v>44900</v>
      </c>
      <c r="K171" s="207">
        <f t="shared" si="29"/>
        <v>0</v>
      </c>
      <c r="L171" s="211">
        <f t="shared" si="30"/>
        <v>1100</v>
      </c>
      <c r="M171" s="205"/>
      <c r="N171" s="206"/>
      <c r="P171" s="13"/>
      <c r="Q171" s="184" t="str">
        <f t="shared" si="31"/>
        <v>Heritage plant and equipment</v>
      </c>
      <c r="R171" s="143">
        <f>IF('Assets - Base year'!N177="","0",'Assets - Base year'!N177)</f>
        <v>0</v>
      </c>
      <c r="S171" s="143">
        <f>IF('Assets - Base year'!O177="","0",'Assets - Base year'!O177)</f>
        <v>0</v>
      </c>
      <c r="T171" s="143">
        <f>IF('Assets - Base year'!P177="","0",'Assets - Base year'!P177)</f>
        <v>0</v>
      </c>
      <c r="U171" s="143">
        <f>IF('Assets - Base year'!Q177="","0",'Assets - Base year'!Q177)</f>
        <v>0</v>
      </c>
      <c r="V171" s="143">
        <f>IF('Assets - Base year'!R177="","0",'Assets - Base year'!R177)</f>
        <v>0</v>
      </c>
      <c r="W171" s="143">
        <f t="shared" si="26"/>
        <v>0</v>
      </c>
      <c r="X171" s="143">
        <f t="shared" si="26"/>
        <v>0</v>
      </c>
      <c r="Y171" s="143">
        <f t="shared" si="26"/>
        <v>0</v>
      </c>
      <c r="Z171" s="143">
        <f t="shared" si="26"/>
        <v>0</v>
      </c>
      <c r="AA171" s="143">
        <f t="shared" si="26"/>
        <v>0</v>
      </c>
      <c r="AB171" s="185"/>
      <c r="AC171" s="184" t="str">
        <f t="shared" si="32"/>
        <v>Heritage plant and equipment</v>
      </c>
      <c r="AD171" s="143">
        <f t="shared" ref="AD171:AH175" si="39">W171-R171</f>
        <v>0</v>
      </c>
      <c r="AE171" s="143">
        <f t="shared" si="39"/>
        <v>0</v>
      </c>
      <c r="AF171" s="143">
        <f t="shared" si="39"/>
        <v>0</v>
      </c>
      <c r="AG171" s="143">
        <f t="shared" si="39"/>
        <v>0</v>
      </c>
      <c r="AH171" s="143">
        <f t="shared" si="39"/>
        <v>0</v>
      </c>
      <c r="AI171" s="31"/>
    </row>
    <row r="172" spans="1:35" x14ac:dyDescent="0.2">
      <c r="C172" s="13"/>
      <c r="D172" s="85">
        <f t="shared" si="38"/>
        <v>10</v>
      </c>
      <c r="E172" s="178" t="str">
        <f>IF(OR('Services - NHC'!E19="",'Services - NHC'!E19="[Enter service]"),"",'Services - NHC'!E19)</f>
        <v>Powerline Safety</v>
      </c>
      <c r="F172" s="179" t="str">
        <f>IF(OR('Services - NHC'!F19="",'Services - NHC'!F19="[Select]"),"",'Services - NHC'!F19)</f>
        <v>External</v>
      </c>
      <c r="G172" s="191">
        <f>IF('Revenue - Base year'!V21="","",'Revenue - Base year'!V21)</f>
        <v>0</v>
      </c>
      <c r="H172" s="191">
        <f t="shared" si="27"/>
        <v>0</v>
      </c>
      <c r="I172" s="191">
        <f>IF('Expenditure - Base year'!R20="","",'Expenditure - Base year'!R20)</f>
        <v>76792</v>
      </c>
      <c r="J172" s="190">
        <f t="shared" si="28"/>
        <v>60000</v>
      </c>
      <c r="K172" s="207">
        <f t="shared" si="29"/>
        <v>0</v>
      </c>
      <c r="L172" s="211">
        <f t="shared" si="30"/>
        <v>-16792</v>
      </c>
      <c r="M172" s="205"/>
      <c r="N172" s="206"/>
      <c r="P172" s="13"/>
      <c r="Q172" s="184" t="str">
        <f t="shared" si="31"/>
        <v>Plant, machinery and equipment</v>
      </c>
      <c r="R172" s="143">
        <f>IF('Assets - Base year'!N178="","0",'Assets - Base year'!N178)</f>
        <v>7000</v>
      </c>
      <c r="S172" s="143">
        <f>IF('Assets - Base year'!O178="","0",'Assets - Base year'!O178)</f>
        <v>165000</v>
      </c>
      <c r="T172" s="143">
        <f>IF('Assets - Base year'!P178="","0",'Assets - Base year'!P178)</f>
        <v>0</v>
      </c>
      <c r="U172" s="143">
        <f>IF('Assets - Base year'!Q178="","0",'Assets - Base year'!Q178)</f>
        <v>0</v>
      </c>
      <c r="V172" s="143">
        <f>IF('Assets - Base year'!R178="","0",'Assets - Base year'!R178)</f>
        <v>172000</v>
      </c>
      <c r="W172" s="143">
        <f t="shared" si="26"/>
        <v>0</v>
      </c>
      <c r="X172" s="143">
        <f t="shared" si="26"/>
        <v>165000</v>
      </c>
      <c r="Y172" s="143">
        <f t="shared" si="26"/>
        <v>0</v>
      </c>
      <c r="Z172" s="143">
        <f t="shared" si="26"/>
        <v>0</v>
      </c>
      <c r="AA172" s="143">
        <f t="shared" si="26"/>
        <v>165000</v>
      </c>
      <c r="AB172" s="185"/>
      <c r="AC172" s="184" t="str">
        <f t="shared" si="32"/>
        <v>Plant, machinery and equipment</v>
      </c>
      <c r="AD172" s="143">
        <f t="shared" si="39"/>
        <v>-7000</v>
      </c>
      <c r="AE172" s="143">
        <f t="shared" si="39"/>
        <v>0</v>
      </c>
      <c r="AF172" s="143">
        <f t="shared" si="39"/>
        <v>0</v>
      </c>
      <c r="AG172" s="143">
        <f t="shared" si="39"/>
        <v>0</v>
      </c>
      <c r="AH172" s="143">
        <f t="shared" si="39"/>
        <v>-7000</v>
      </c>
      <c r="AI172" s="31"/>
    </row>
    <row r="173" spans="1:35" x14ac:dyDescent="0.2">
      <c r="C173" s="13"/>
      <c r="D173" s="19">
        <f t="shared" si="38"/>
        <v>11</v>
      </c>
      <c r="E173" s="178" t="str">
        <f>IF(OR('Services - NHC'!E20="",'Services - NHC'!E20="[Enter service]"),"",'Services - NHC'!E20)</f>
        <v>Library</v>
      </c>
      <c r="F173" s="179" t="str">
        <f>IF(OR('Services - NHC'!F20="",'Services - NHC'!F20="[Select]"),"",'Services - NHC'!F20)</f>
        <v>External</v>
      </c>
      <c r="G173" s="191">
        <f>IF('Revenue - Base year'!V22="","",'Revenue - Base year'!V22)</f>
        <v>0</v>
      </c>
      <c r="H173" s="191">
        <f t="shared" si="27"/>
        <v>0</v>
      </c>
      <c r="I173" s="191">
        <f>IF('Expenditure - Base year'!R21="","",'Expenditure - Base year'!R21)</f>
        <v>225157</v>
      </c>
      <c r="J173" s="190">
        <f t="shared" si="28"/>
        <v>211500</v>
      </c>
      <c r="K173" s="207">
        <f t="shared" si="29"/>
        <v>0</v>
      </c>
      <c r="L173" s="211">
        <f t="shared" si="30"/>
        <v>-13657</v>
      </c>
      <c r="M173" s="205"/>
      <c r="N173" s="206"/>
      <c r="P173" s="13"/>
      <c r="Q173" s="184" t="str">
        <f t="shared" si="31"/>
        <v>Fixtures, fittings and furniture</v>
      </c>
      <c r="R173" s="143">
        <f>IF('Assets - Base year'!N179="","0",'Assets - Base year'!N179)</f>
        <v>0</v>
      </c>
      <c r="S173" s="143">
        <f>IF('Assets - Base year'!O179="","0",'Assets - Base year'!O179)</f>
        <v>5000</v>
      </c>
      <c r="T173" s="143">
        <f>IF('Assets - Base year'!P179="","0",'Assets - Base year'!P179)</f>
        <v>0</v>
      </c>
      <c r="U173" s="143">
        <f>IF('Assets - Base year'!Q179="","0",'Assets - Base year'!Q179)</f>
        <v>0</v>
      </c>
      <c r="V173" s="143">
        <f>IF('Assets - Base year'!R179="","0",'Assets - Base year'!R179)</f>
        <v>5000</v>
      </c>
      <c r="W173" s="143">
        <f t="shared" ref="W173:AA182" si="40">W21</f>
        <v>0</v>
      </c>
      <c r="X173" s="143">
        <f t="shared" si="40"/>
        <v>5000</v>
      </c>
      <c r="Y173" s="143">
        <f t="shared" si="40"/>
        <v>0</v>
      </c>
      <c r="Z173" s="143">
        <f t="shared" si="40"/>
        <v>0</v>
      </c>
      <c r="AA173" s="143">
        <f t="shared" si="40"/>
        <v>5000</v>
      </c>
      <c r="AB173" s="185"/>
      <c r="AC173" s="184" t="str">
        <f t="shared" si="32"/>
        <v>Fixtures, fittings and furniture</v>
      </c>
      <c r="AD173" s="143">
        <f t="shared" si="39"/>
        <v>0</v>
      </c>
      <c r="AE173" s="143">
        <f t="shared" si="39"/>
        <v>0</v>
      </c>
      <c r="AF173" s="143">
        <f t="shared" si="39"/>
        <v>0</v>
      </c>
      <c r="AG173" s="143">
        <f t="shared" si="39"/>
        <v>0</v>
      </c>
      <c r="AH173" s="143">
        <f t="shared" si="39"/>
        <v>0</v>
      </c>
      <c r="AI173" s="31"/>
    </row>
    <row r="174" spans="1:35" x14ac:dyDescent="0.2">
      <c r="C174" s="13"/>
      <c r="D174" s="19">
        <f t="shared" si="38"/>
        <v>12</v>
      </c>
      <c r="E174" s="178" t="str">
        <f>IF(OR('Services - NHC'!E21="",'Services - NHC'!E21="[Enter service]"),"",'Services - NHC'!E21)</f>
        <v>Recreation, Arts and Culture</v>
      </c>
      <c r="F174" s="179" t="str">
        <f>IF(OR('Services - NHC'!F21="",'Services - NHC'!F21="[Select]"),"",'Services - NHC'!F21)</f>
        <v>External</v>
      </c>
      <c r="G174" s="191">
        <f>IF('Revenue - Base year'!V23="","",'Revenue - Base year'!V23)</f>
        <v>0</v>
      </c>
      <c r="H174" s="191">
        <f t="shared" si="27"/>
        <v>0</v>
      </c>
      <c r="I174" s="191">
        <f>IF('Expenditure - Base year'!R22="","",'Expenditure - Base year'!R22)</f>
        <v>28500</v>
      </c>
      <c r="J174" s="190">
        <f t="shared" si="28"/>
        <v>28500</v>
      </c>
      <c r="K174" s="207">
        <f t="shared" si="29"/>
        <v>0</v>
      </c>
      <c r="L174" s="211">
        <f t="shared" si="30"/>
        <v>0</v>
      </c>
      <c r="M174" s="205"/>
      <c r="N174" s="206"/>
      <c r="P174" s="13"/>
      <c r="Q174" s="184" t="str">
        <f t="shared" si="31"/>
        <v>Computers and telecommunications</v>
      </c>
      <c r="R174" s="143">
        <f>IF('Assets - Base year'!N180="","0",'Assets - Base year'!N180)</f>
        <v>156863.82999999999</v>
      </c>
      <c r="S174" s="143">
        <f>IF('Assets - Base year'!O180="","0",'Assets - Base year'!O180)</f>
        <v>58800</v>
      </c>
      <c r="T174" s="143">
        <f>IF('Assets - Base year'!P180="","0",'Assets - Base year'!P180)</f>
        <v>0</v>
      </c>
      <c r="U174" s="143">
        <f>IF('Assets - Base year'!Q180="","0",'Assets - Base year'!Q180)</f>
        <v>0</v>
      </c>
      <c r="V174" s="143">
        <f>IF('Assets - Base year'!R180="","0",'Assets - Base year'!R180)</f>
        <v>215663.83</v>
      </c>
      <c r="W174" s="143">
        <f t="shared" si="40"/>
        <v>0</v>
      </c>
      <c r="X174" s="143">
        <f t="shared" si="40"/>
        <v>30000</v>
      </c>
      <c r="Y174" s="143">
        <f t="shared" si="40"/>
        <v>0</v>
      </c>
      <c r="Z174" s="143">
        <f t="shared" si="40"/>
        <v>0</v>
      </c>
      <c r="AA174" s="143">
        <f t="shared" si="40"/>
        <v>30000</v>
      </c>
      <c r="AB174" s="185"/>
      <c r="AC174" s="184" t="str">
        <f t="shared" si="32"/>
        <v>Computers and telecommunications</v>
      </c>
      <c r="AD174" s="143">
        <f t="shared" si="39"/>
        <v>-156863.82999999999</v>
      </c>
      <c r="AE174" s="143">
        <f t="shared" si="39"/>
        <v>-28800</v>
      </c>
      <c r="AF174" s="143">
        <f t="shared" si="39"/>
        <v>0</v>
      </c>
      <c r="AG174" s="143">
        <f t="shared" si="39"/>
        <v>0</v>
      </c>
      <c r="AH174" s="143">
        <f t="shared" si="39"/>
        <v>-185663.83</v>
      </c>
      <c r="AI174" s="31"/>
    </row>
    <row r="175" spans="1:35" s="52" customFormat="1" x14ac:dyDescent="0.2">
      <c r="A175" s="6"/>
      <c r="B175" s="6"/>
      <c r="C175" s="13"/>
      <c r="D175" s="85">
        <f t="shared" si="38"/>
        <v>13</v>
      </c>
      <c r="E175" s="178" t="str">
        <f>IF(OR('Services - NHC'!E22="",'Services - NHC'!E22="[Enter service]"),"",'Services - NHC'!E22)</f>
        <v>Environmental Sustainability</v>
      </c>
      <c r="F175" s="179" t="str">
        <f>IF(OR('Services - NHC'!F22="",'Services - NHC'!F22="[Select]"),"",'Services - NHC'!F22)</f>
        <v>Mixed</v>
      </c>
      <c r="G175" s="191">
        <f>IF('Revenue - Base year'!V24="","",'Revenue - Base year'!V24)</f>
        <v>8000</v>
      </c>
      <c r="H175" s="191">
        <f t="shared" si="27"/>
        <v>3000</v>
      </c>
      <c r="I175" s="191">
        <f>IF('Expenditure - Base year'!R23="","",'Expenditure - Base year'!R23)</f>
        <v>121721.4022470755</v>
      </c>
      <c r="J175" s="190">
        <f t="shared" si="28"/>
        <v>203073.200492017</v>
      </c>
      <c r="K175" s="207">
        <f t="shared" si="29"/>
        <v>-5000</v>
      </c>
      <c r="L175" s="211">
        <f t="shared" si="30"/>
        <v>81351.798244941499</v>
      </c>
      <c r="M175" s="205"/>
      <c r="N175" s="206"/>
      <c r="O175" s="6"/>
      <c r="P175" s="13"/>
      <c r="Q175" s="184" t="str">
        <f t="shared" si="31"/>
        <v>Library books</v>
      </c>
      <c r="R175" s="143">
        <f>IF('Assets - Base year'!N181="","0",'Assets - Base year'!N181)</f>
        <v>0</v>
      </c>
      <c r="S175" s="143">
        <f>IF('Assets - Base year'!O181="","0",'Assets - Base year'!O181)</f>
        <v>0</v>
      </c>
      <c r="T175" s="143">
        <f>IF('Assets - Base year'!P181="","0",'Assets - Base year'!P181)</f>
        <v>0</v>
      </c>
      <c r="U175" s="143">
        <f>IF('Assets - Base year'!Q181="","0",'Assets - Base year'!Q181)</f>
        <v>0</v>
      </c>
      <c r="V175" s="143">
        <f>IF('Assets - Base year'!R181="","0",'Assets - Base year'!R181)</f>
        <v>0</v>
      </c>
      <c r="W175" s="143">
        <f t="shared" si="40"/>
        <v>0</v>
      </c>
      <c r="X175" s="143">
        <f t="shared" si="40"/>
        <v>0</v>
      </c>
      <c r="Y175" s="143">
        <f t="shared" si="40"/>
        <v>0</v>
      </c>
      <c r="Z175" s="143">
        <f t="shared" si="40"/>
        <v>0</v>
      </c>
      <c r="AA175" s="143">
        <f t="shared" si="40"/>
        <v>0</v>
      </c>
      <c r="AB175" s="185"/>
      <c r="AC175" s="184" t="str">
        <f t="shared" si="32"/>
        <v>Library books</v>
      </c>
      <c r="AD175" s="143">
        <f t="shared" si="39"/>
        <v>0</v>
      </c>
      <c r="AE175" s="143">
        <f t="shared" si="39"/>
        <v>0</v>
      </c>
      <c r="AF175" s="143">
        <f t="shared" si="39"/>
        <v>0</v>
      </c>
      <c r="AG175" s="143">
        <f t="shared" si="39"/>
        <v>0</v>
      </c>
      <c r="AH175" s="143">
        <f t="shared" si="39"/>
        <v>0</v>
      </c>
      <c r="AI175" s="31"/>
    </row>
    <row r="176" spans="1:35" s="52" customFormat="1" x14ac:dyDescent="0.2">
      <c r="A176" s="6"/>
      <c r="B176" s="6"/>
      <c r="C176" s="13"/>
      <c r="D176" s="19">
        <f t="shared" si="38"/>
        <v>14</v>
      </c>
      <c r="E176" s="178" t="str">
        <f>IF(OR('Services - NHC'!E23="",'Services - NHC'!E23="[Enter service]"),"",'Services - NHC'!E23)</f>
        <v>Coastal Protection</v>
      </c>
      <c r="F176" s="179" t="str">
        <f>IF(OR('Services - NHC'!F23="",'Services - NHC'!F23="[Select]"),"",'Services - NHC'!F23)</f>
        <v>External</v>
      </c>
      <c r="G176" s="191">
        <f>IF('Revenue - Base year'!V25="","",'Revenue - Base year'!V25)</f>
        <v>96937.340000000011</v>
      </c>
      <c r="H176" s="191">
        <f t="shared" si="27"/>
        <v>98400</v>
      </c>
      <c r="I176" s="191">
        <f>IF('Expenditure - Base year'!R24="","",'Expenditure - Base year'!R24)</f>
        <v>494672.94000000006</v>
      </c>
      <c r="J176" s="190">
        <f t="shared" si="28"/>
        <v>718911.76</v>
      </c>
      <c r="K176" s="207">
        <f t="shared" si="29"/>
        <v>1462.6599999999889</v>
      </c>
      <c r="L176" s="211">
        <f t="shared" si="30"/>
        <v>224238.81999999995</v>
      </c>
      <c r="M176" s="205"/>
      <c r="N176" s="206"/>
      <c r="O176" s="6"/>
      <c r="P176" s="13"/>
      <c r="Q176" s="198" t="str">
        <f t="shared" si="31"/>
        <v>Infrastructure</v>
      </c>
      <c r="R176" s="183">
        <f>SUM(R177:R186)</f>
        <v>371550</v>
      </c>
      <c r="S176" s="183">
        <f>SUM(S177:S186)</f>
        <v>379908.51400000002</v>
      </c>
      <c r="T176" s="183">
        <f>SUM(T177:T186)</f>
        <v>0</v>
      </c>
      <c r="U176" s="183">
        <f>SUM(U177:U186)</f>
        <v>277480.16599999997</v>
      </c>
      <c r="V176" s="183">
        <f>SUM(V177:V186)</f>
        <v>1028938.68</v>
      </c>
      <c r="W176" s="183">
        <f t="shared" si="40"/>
        <v>1176367.56525</v>
      </c>
      <c r="X176" s="183">
        <f t="shared" si="40"/>
        <v>963194.36224999989</v>
      </c>
      <c r="Y176" s="183">
        <f t="shared" si="40"/>
        <v>0</v>
      </c>
      <c r="Z176" s="183">
        <f t="shared" si="40"/>
        <v>552561.90749999997</v>
      </c>
      <c r="AA176" s="183">
        <f t="shared" si="40"/>
        <v>2692123.8349999995</v>
      </c>
      <c r="AB176" s="185"/>
      <c r="AC176" s="198" t="str">
        <f t="shared" si="32"/>
        <v>Infrastructure</v>
      </c>
      <c r="AD176" s="183">
        <f>SUM(AD177:AD186)</f>
        <v>804817.56524999999</v>
      </c>
      <c r="AE176" s="183">
        <f>SUM(AE177:AE186)</f>
        <v>583285.84824999992</v>
      </c>
      <c r="AF176" s="183">
        <f>SUM(AF177:AF186)</f>
        <v>0</v>
      </c>
      <c r="AG176" s="183">
        <f>SUM(AG177:AG186)</f>
        <v>275081.74149999995</v>
      </c>
      <c r="AH176" s="183">
        <f>SUM(AH177:AH186)</f>
        <v>1663185.1549999998</v>
      </c>
      <c r="AI176" s="31"/>
    </row>
    <row r="177" spans="1:35" s="52" customFormat="1" x14ac:dyDescent="0.2">
      <c r="A177" s="6"/>
      <c r="B177" s="6"/>
      <c r="C177" s="13"/>
      <c r="D177" s="19">
        <f t="shared" si="38"/>
        <v>15</v>
      </c>
      <c r="E177" s="178" t="str">
        <f>IF(OR('Services - NHC'!E24="",'Services - NHC'!E24="[Enter service]"),"",'Services - NHC'!E24)</f>
        <v>Waste Management and Recycling</v>
      </c>
      <c r="F177" s="179" t="str">
        <f>IF(OR('Services - NHC'!F24="",'Services - NHC'!F24="[Select]"),"",'Services - NHC'!F24)</f>
        <v>External</v>
      </c>
      <c r="G177" s="191">
        <f>IF('Revenue - Base year'!V26="","",'Revenue - Base year'!V26)</f>
        <v>26000</v>
      </c>
      <c r="H177" s="191">
        <f t="shared" si="27"/>
        <v>26000</v>
      </c>
      <c r="I177" s="191">
        <f>IF('Expenditure - Base year'!R25="","",'Expenditure - Base year'!R25)</f>
        <v>876156.28</v>
      </c>
      <c r="J177" s="190">
        <f t="shared" si="28"/>
        <v>894200</v>
      </c>
      <c r="K177" s="207">
        <f t="shared" si="29"/>
        <v>0</v>
      </c>
      <c r="L177" s="211">
        <f t="shared" si="30"/>
        <v>18043.719999999972</v>
      </c>
      <c r="M177" s="205"/>
      <c r="N177" s="206"/>
      <c r="O177" s="6"/>
      <c r="P177" s="13"/>
      <c r="Q177" s="184" t="str">
        <f t="shared" si="31"/>
        <v>Roads</v>
      </c>
      <c r="R177" s="143">
        <f>IF('Assets - Base year'!N183="","0",'Assets - Base year'!N183)</f>
        <v>3076.5</v>
      </c>
      <c r="S177" s="143">
        <f>IF('Assets - Base year'!O183="","0",'Assets - Base year'!O183)</f>
        <v>82318.5</v>
      </c>
      <c r="T177" s="143">
        <f>IF('Assets - Base year'!P183="","0",'Assets - Base year'!P183)</f>
        <v>0</v>
      </c>
      <c r="U177" s="143">
        <f>IF('Assets - Base year'!Q183="","0",'Assets - Base year'!Q183)</f>
        <v>4395</v>
      </c>
      <c r="V177" s="143">
        <f>IF('Assets - Base year'!R183="","0",'Assets - Base year'!R183)</f>
        <v>89790</v>
      </c>
      <c r="W177" s="143">
        <f t="shared" si="40"/>
        <v>29306.535915</v>
      </c>
      <c r="X177" s="143">
        <f t="shared" si="40"/>
        <v>360231.37253499997</v>
      </c>
      <c r="Y177" s="143">
        <f t="shared" si="40"/>
        <v>0</v>
      </c>
      <c r="Z177" s="143">
        <f t="shared" si="40"/>
        <v>79637.908450000003</v>
      </c>
      <c r="AA177" s="143">
        <f t="shared" si="40"/>
        <v>469175.81689999998</v>
      </c>
      <c r="AB177" s="185"/>
      <c r="AC177" s="184" t="str">
        <f t="shared" si="32"/>
        <v>Roads</v>
      </c>
      <c r="AD177" s="143">
        <f t="shared" ref="AD177:AD186" si="41">W177-R177</f>
        <v>26230.035915</v>
      </c>
      <c r="AE177" s="143">
        <f t="shared" ref="AE177:AE186" si="42">X177-S177</f>
        <v>277912.87253499997</v>
      </c>
      <c r="AF177" s="143">
        <f t="shared" ref="AF177:AF186" si="43">Y177-T177</f>
        <v>0</v>
      </c>
      <c r="AG177" s="143">
        <f t="shared" ref="AG177:AG186" si="44">Z177-U177</f>
        <v>75242.908450000003</v>
      </c>
      <c r="AH177" s="143">
        <f t="shared" ref="AH177:AH186" si="45">AA177-V177</f>
        <v>379385.81689999998</v>
      </c>
      <c r="AI177" s="31"/>
    </row>
    <row r="178" spans="1:35" x14ac:dyDescent="0.2">
      <c r="C178" s="13"/>
      <c r="D178" s="19">
        <f t="shared" si="38"/>
        <v>16</v>
      </c>
      <c r="E178" s="178" t="str">
        <f>IF(OR('Services - NHC'!E25="",'Services - NHC'!E25="[Enter service]"),"",'Services - NHC'!E25)</f>
        <v>Tourist Parks and Boat Ramp Services</v>
      </c>
      <c r="F178" s="179" t="str">
        <f>IF(OR('Services - NHC'!F25="",'Services - NHC'!F25="[Select]"),"",'Services - NHC'!F25)</f>
        <v>External</v>
      </c>
      <c r="G178" s="191">
        <f>IF('Revenue - Base year'!V27="","",'Revenue - Base year'!V27)</f>
        <v>1823900</v>
      </c>
      <c r="H178" s="191">
        <f t="shared" si="27"/>
        <v>1733757.0621519531</v>
      </c>
      <c r="I178" s="191">
        <f>IF('Expenditure - Base year'!R26="","",'Expenditure - Base year'!R26)</f>
        <v>898109.37</v>
      </c>
      <c r="J178" s="190">
        <f t="shared" si="28"/>
        <v>1044580.45</v>
      </c>
      <c r="K178" s="207">
        <f t="shared" si="29"/>
        <v>-90142.937848046888</v>
      </c>
      <c r="L178" s="211">
        <f t="shared" si="30"/>
        <v>146471.07999999996</v>
      </c>
      <c r="M178" s="205"/>
      <c r="N178" s="206"/>
      <c r="P178" s="13"/>
      <c r="Q178" s="184" t="str">
        <f t="shared" si="31"/>
        <v>Bridges</v>
      </c>
      <c r="R178" s="143">
        <f>IF('Assets - Base year'!N184="","0",'Assets - Base year'!N184)</f>
        <v>0</v>
      </c>
      <c r="S178" s="143">
        <f>IF('Assets - Base year'!O184="","0",'Assets - Base year'!O184)</f>
        <v>0</v>
      </c>
      <c r="T178" s="143">
        <f>IF('Assets - Base year'!P184="","0",'Assets - Base year'!P184)</f>
        <v>0</v>
      </c>
      <c r="U178" s="143">
        <f>IF('Assets - Base year'!Q184="","0",'Assets - Base year'!Q184)</f>
        <v>0</v>
      </c>
      <c r="V178" s="143">
        <f>IF('Assets - Base year'!R184="","0",'Assets - Base year'!R184)</f>
        <v>0</v>
      </c>
      <c r="W178" s="143">
        <f t="shared" si="40"/>
        <v>0</v>
      </c>
      <c r="X178" s="143">
        <f t="shared" si="40"/>
        <v>0</v>
      </c>
      <c r="Y178" s="143">
        <f t="shared" si="40"/>
        <v>0</v>
      </c>
      <c r="Z178" s="143">
        <f t="shared" si="40"/>
        <v>0</v>
      </c>
      <c r="AA178" s="143">
        <f t="shared" si="40"/>
        <v>0</v>
      </c>
      <c r="AB178" s="185"/>
      <c r="AC178" s="184" t="str">
        <f t="shared" si="32"/>
        <v>Bridges</v>
      </c>
      <c r="AD178" s="143">
        <f t="shared" si="41"/>
        <v>0</v>
      </c>
      <c r="AE178" s="143">
        <f t="shared" si="42"/>
        <v>0</v>
      </c>
      <c r="AF178" s="143">
        <f t="shared" si="43"/>
        <v>0</v>
      </c>
      <c r="AG178" s="143">
        <f t="shared" si="44"/>
        <v>0</v>
      </c>
      <c r="AH178" s="143">
        <f t="shared" si="45"/>
        <v>0</v>
      </c>
      <c r="AI178" s="31"/>
    </row>
    <row r="179" spans="1:35" ht="12.75" customHeight="1" x14ac:dyDescent="0.2">
      <c r="C179" s="13"/>
      <c r="D179" s="85">
        <f t="shared" si="38"/>
        <v>17</v>
      </c>
      <c r="E179" s="178" t="str">
        <f>IF(OR('Services - NHC'!E26="",'Services - NHC'!E26="[Enter service]"),"",'Services - NHC'!E26)</f>
        <v>Visitor Information Centre (VIC)</v>
      </c>
      <c r="F179" s="179" t="str">
        <f>IF(OR('Services - NHC'!F26="",'Services - NHC'!F26="[Select]"),"",'Services - NHC'!F26)</f>
        <v>External</v>
      </c>
      <c r="G179" s="191">
        <f>IF('Revenue - Base year'!V28="","",'Revenue - Base year'!V28)</f>
        <v>12000</v>
      </c>
      <c r="H179" s="191">
        <f t="shared" si="27"/>
        <v>12000</v>
      </c>
      <c r="I179" s="191">
        <f>IF('Expenditure - Base year'!R27="","",'Expenditure - Base year'!R27)</f>
        <v>205381.26</v>
      </c>
      <c r="J179" s="190">
        <f t="shared" si="28"/>
        <v>207800</v>
      </c>
      <c r="K179" s="207">
        <f t="shared" si="29"/>
        <v>0</v>
      </c>
      <c r="L179" s="211">
        <f t="shared" si="30"/>
        <v>2418.7399999999907</v>
      </c>
      <c r="M179" s="205"/>
      <c r="N179" s="206"/>
      <c r="P179" s="13"/>
      <c r="Q179" s="184" t="str">
        <f t="shared" si="31"/>
        <v>Footpaths and cycleways</v>
      </c>
      <c r="R179" s="143">
        <f>IF('Assets - Base year'!N185="","0",'Assets - Base year'!N185)</f>
        <v>0</v>
      </c>
      <c r="S179" s="143">
        <f>IF('Assets - Base year'!O185="","0",'Assets - Base year'!O185)</f>
        <v>22000</v>
      </c>
      <c r="T179" s="143">
        <f>IF('Assets - Base year'!P185="","0",'Assets - Base year'!P185)</f>
        <v>0</v>
      </c>
      <c r="U179" s="143">
        <f>IF('Assets - Base year'!Q185="","0",'Assets - Base year'!Q185)</f>
        <v>90000</v>
      </c>
      <c r="V179" s="143">
        <f>IF('Assets - Base year'!R185="","0",'Assets - Base year'!R185)</f>
        <v>112000</v>
      </c>
      <c r="W179" s="143">
        <f t="shared" si="40"/>
        <v>0</v>
      </c>
      <c r="X179" s="143">
        <f t="shared" si="40"/>
        <v>34800</v>
      </c>
      <c r="Y179" s="143">
        <f t="shared" si="40"/>
        <v>0</v>
      </c>
      <c r="Z179" s="143">
        <f t="shared" si="40"/>
        <v>29200</v>
      </c>
      <c r="AA179" s="143">
        <f t="shared" si="40"/>
        <v>64000</v>
      </c>
      <c r="AB179" s="185"/>
      <c r="AC179" s="184" t="str">
        <f t="shared" si="32"/>
        <v>Footpaths and cycleways</v>
      </c>
      <c r="AD179" s="143">
        <f t="shared" si="41"/>
        <v>0</v>
      </c>
      <c r="AE179" s="143">
        <f t="shared" si="42"/>
        <v>12800</v>
      </c>
      <c r="AF179" s="143">
        <f t="shared" si="43"/>
        <v>0</v>
      </c>
      <c r="AG179" s="143">
        <f t="shared" si="44"/>
        <v>-60800</v>
      </c>
      <c r="AH179" s="143">
        <f t="shared" si="45"/>
        <v>-48000</v>
      </c>
      <c r="AI179" s="31"/>
    </row>
    <row r="180" spans="1:35" x14ac:dyDescent="0.2">
      <c r="C180" s="13"/>
      <c r="D180" s="19">
        <f t="shared" si="38"/>
        <v>18</v>
      </c>
      <c r="E180" s="178" t="str">
        <f>IF(OR('Services - NHC'!E27="",'Services - NHC'!E27="[Enter service]"),"",'Services - NHC'!E27)</f>
        <v>Tourism and Economic Development</v>
      </c>
      <c r="F180" s="179" t="str">
        <f>IF(OR('Services - NHC'!F27="",'Services - NHC'!F27="[Select]"),"",'Services - NHC'!F27)</f>
        <v>Mixed</v>
      </c>
      <c r="G180" s="191">
        <f>IF('Revenue - Base year'!V29="","",'Revenue - Base year'!V29)</f>
        <v>88000</v>
      </c>
      <c r="H180" s="191">
        <f t="shared" si="27"/>
        <v>13000</v>
      </c>
      <c r="I180" s="191">
        <f>IF('Expenditure - Base year'!R28="","",'Expenditure - Base year'!R28)</f>
        <v>287944.95</v>
      </c>
      <c r="J180" s="190">
        <f t="shared" si="28"/>
        <v>216200</v>
      </c>
      <c r="K180" s="207">
        <f t="shared" si="29"/>
        <v>-75000</v>
      </c>
      <c r="L180" s="211">
        <f t="shared" si="30"/>
        <v>-71744.950000000012</v>
      </c>
      <c r="M180" s="205"/>
      <c r="N180" s="206"/>
      <c r="P180" s="13"/>
      <c r="Q180" s="184" t="str">
        <f t="shared" si="31"/>
        <v>Drainage</v>
      </c>
      <c r="R180" s="143">
        <f>IF('Assets - Base year'!N186="","0",'Assets - Base year'!N186)</f>
        <v>0</v>
      </c>
      <c r="S180" s="143">
        <f>IF('Assets - Base year'!O186="","0",'Assets - Base year'!O186)</f>
        <v>45000</v>
      </c>
      <c r="T180" s="143">
        <f>IF('Assets - Base year'!P186="","0",'Assets - Base year'!P186)</f>
        <v>0</v>
      </c>
      <c r="U180" s="143">
        <f>IF('Assets - Base year'!Q186="","0",'Assets - Base year'!Q186)</f>
        <v>0</v>
      </c>
      <c r="V180" s="143">
        <f>IF('Assets - Base year'!R186="","0",'Assets - Base year'!R186)</f>
        <v>45000</v>
      </c>
      <c r="W180" s="143">
        <f t="shared" si="40"/>
        <v>0</v>
      </c>
      <c r="X180" s="143">
        <f t="shared" si="40"/>
        <v>57100</v>
      </c>
      <c r="Y180" s="143">
        <f t="shared" si="40"/>
        <v>0</v>
      </c>
      <c r="Z180" s="143">
        <f t="shared" si="40"/>
        <v>9600</v>
      </c>
      <c r="AA180" s="143">
        <f t="shared" si="40"/>
        <v>66700</v>
      </c>
      <c r="AB180" s="185"/>
      <c r="AC180" s="184" t="str">
        <f t="shared" si="32"/>
        <v>Drainage</v>
      </c>
      <c r="AD180" s="143">
        <f t="shared" si="41"/>
        <v>0</v>
      </c>
      <c r="AE180" s="143">
        <f t="shared" si="42"/>
        <v>12100</v>
      </c>
      <c r="AF180" s="143">
        <f t="shared" si="43"/>
        <v>0</v>
      </c>
      <c r="AG180" s="143">
        <f t="shared" si="44"/>
        <v>9600</v>
      </c>
      <c r="AH180" s="143">
        <f t="shared" si="45"/>
        <v>21700</v>
      </c>
      <c r="AI180" s="31"/>
    </row>
    <row r="181" spans="1:35" x14ac:dyDescent="0.2">
      <c r="C181" s="13"/>
      <c r="D181" s="19">
        <f t="shared" si="38"/>
        <v>19</v>
      </c>
      <c r="E181" s="178" t="str">
        <f>IF(OR('Services - NHC'!E28="",'Services - NHC'!E28="[Enter service]"),"",'Services - NHC'!E28)</f>
        <v>Design and Project Management</v>
      </c>
      <c r="F181" s="179" t="str">
        <f>IF(OR('Services - NHC'!F28="",'Services - NHC'!F28="[Select]"),"",'Services - NHC'!F28)</f>
        <v>Mixed</v>
      </c>
      <c r="G181" s="191">
        <f>IF('Revenue - Base year'!V30="","",'Revenue - Base year'!V30)</f>
        <v>0</v>
      </c>
      <c r="H181" s="191">
        <f t="shared" si="27"/>
        <v>0</v>
      </c>
      <c r="I181" s="191">
        <f>IF('Expenditure - Base year'!R29="","",'Expenditure - Base year'!R29)</f>
        <v>203289.65</v>
      </c>
      <c r="J181" s="190">
        <f t="shared" si="28"/>
        <v>178800</v>
      </c>
      <c r="K181" s="207">
        <f t="shared" si="29"/>
        <v>0</v>
      </c>
      <c r="L181" s="211">
        <f t="shared" si="30"/>
        <v>-24489.649999999994</v>
      </c>
      <c r="M181" s="205"/>
      <c r="N181" s="206"/>
      <c r="P181" s="13"/>
      <c r="Q181" s="184" t="str">
        <f t="shared" si="31"/>
        <v>Recreastional, leisure and community facilities</v>
      </c>
      <c r="R181" s="143">
        <f>IF('Assets - Base year'!N187="","0",'Assets - Base year'!N187)</f>
        <v>80473.5</v>
      </c>
      <c r="S181" s="143">
        <f>IF('Assets - Base year'!O187="","0",'Assets - Base year'!O187)</f>
        <v>146476.76560000001</v>
      </c>
      <c r="T181" s="143">
        <f>IF('Assets - Base year'!P187="","0",'Assets - Base year'!P187)</f>
        <v>0</v>
      </c>
      <c r="U181" s="143">
        <f>IF('Assets - Base year'!Q187="","0",'Assets - Base year'!Q187)</f>
        <v>149410.06640000001</v>
      </c>
      <c r="V181" s="143">
        <f>IF('Assets - Base year'!R187="","0",'Assets - Base year'!R187)</f>
        <v>376360.33200000005</v>
      </c>
      <c r="W181" s="143">
        <f t="shared" si="40"/>
        <v>249298.22933499995</v>
      </c>
      <c r="X181" s="143">
        <f t="shared" si="40"/>
        <v>206448.16971499997</v>
      </c>
      <c r="Y181" s="143">
        <f t="shared" si="40"/>
        <v>0</v>
      </c>
      <c r="Z181" s="143">
        <f t="shared" si="40"/>
        <v>375291.39904999995</v>
      </c>
      <c r="AA181" s="143">
        <f t="shared" si="40"/>
        <v>831037.79809999978</v>
      </c>
      <c r="AB181" s="185"/>
      <c r="AC181" s="184" t="str">
        <f t="shared" si="32"/>
        <v>Recreastional, leisure and community facilities</v>
      </c>
      <c r="AD181" s="143">
        <f t="shared" si="41"/>
        <v>168824.72933499995</v>
      </c>
      <c r="AE181" s="143">
        <f t="shared" si="42"/>
        <v>59971.404114999954</v>
      </c>
      <c r="AF181" s="143">
        <f t="shared" si="43"/>
        <v>0</v>
      </c>
      <c r="AG181" s="143">
        <f t="shared" si="44"/>
        <v>225881.33264999994</v>
      </c>
      <c r="AH181" s="143">
        <f t="shared" si="45"/>
        <v>454677.46609999973</v>
      </c>
      <c r="AI181" s="31"/>
    </row>
    <row r="182" spans="1:35" x14ac:dyDescent="0.2">
      <c r="C182" s="13"/>
      <c r="D182" s="19">
        <f t="shared" si="38"/>
        <v>20</v>
      </c>
      <c r="E182" s="178" t="str">
        <f>IF(OR('Services - NHC'!E29="",'Services - NHC'!E29="[Enter service]"),"",'Services - NHC'!E29)</f>
        <v>Land Use Planning</v>
      </c>
      <c r="F182" s="179" t="str">
        <f>IF(OR('Services - NHC'!F29="",'Services - NHC'!F29="[Select]"),"",'Services - NHC'!F29)</f>
        <v>External</v>
      </c>
      <c r="G182" s="191">
        <f>IF('Revenue - Base year'!V31="","",'Revenue - Base year'!V31)</f>
        <v>70000</v>
      </c>
      <c r="H182" s="191">
        <f t="shared" si="27"/>
        <v>70000</v>
      </c>
      <c r="I182" s="191">
        <f>IF('Expenditure - Base year'!R30="","",'Expenditure - Base year'!R30)</f>
        <v>229104.31</v>
      </c>
      <c r="J182" s="190">
        <f t="shared" si="28"/>
        <v>346456.92</v>
      </c>
      <c r="K182" s="207">
        <f t="shared" si="29"/>
        <v>0</v>
      </c>
      <c r="L182" s="211">
        <f t="shared" si="30"/>
        <v>117352.60999999999</v>
      </c>
      <c r="M182" s="205"/>
      <c r="N182" s="206"/>
      <c r="P182" s="13"/>
      <c r="Q182" s="184" t="str">
        <f t="shared" si="31"/>
        <v>Waste management</v>
      </c>
      <c r="R182" s="143">
        <f>IF('Assets - Base year'!N188="","0",'Assets - Base year'!N188)</f>
        <v>0</v>
      </c>
      <c r="S182" s="143">
        <f>IF('Assets - Base year'!O188="","0",'Assets - Base year'!O188)</f>
        <v>0</v>
      </c>
      <c r="T182" s="143">
        <f>IF('Assets - Base year'!P188="","0",'Assets - Base year'!P188)</f>
        <v>0</v>
      </c>
      <c r="U182" s="143">
        <f>IF('Assets - Base year'!Q188="","0",'Assets - Base year'!Q188)</f>
        <v>0</v>
      </c>
      <c r="V182" s="143">
        <f>IF('Assets - Base year'!R188="","0",'Assets - Base year'!R188)</f>
        <v>0</v>
      </c>
      <c r="W182" s="143">
        <f t="shared" si="40"/>
        <v>0</v>
      </c>
      <c r="X182" s="143">
        <f t="shared" si="40"/>
        <v>0</v>
      </c>
      <c r="Y182" s="143">
        <f t="shared" si="40"/>
        <v>0</v>
      </c>
      <c r="Z182" s="143">
        <f t="shared" si="40"/>
        <v>0</v>
      </c>
      <c r="AA182" s="143">
        <f t="shared" si="40"/>
        <v>0</v>
      </c>
      <c r="AB182" s="185"/>
      <c r="AC182" s="184" t="str">
        <f t="shared" si="32"/>
        <v>Waste management</v>
      </c>
      <c r="AD182" s="143">
        <f t="shared" si="41"/>
        <v>0</v>
      </c>
      <c r="AE182" s="143">
        <f t="shared" si="42"/>
        <v>0</v>
      </c>
      <c r="AF182" s="143">
        <f t="shared" si="43"/>
        <v>0</v>
      </c>
      <c r="AG182" s="143">
        <f t="shared" si="44"/>
        <v>0</v>
      </c>
      <c r="AH182" s="143">
        <f t="shared" si="45"/>
        <v>0</v>
      </c>
      <c r="AI182" s="31"/>
    </row>
    <row r="183" spans="1:35" x14ac:dyDescent="0.2">
      <c r="C183" s="13"/>
      <c r="D183" s="85">
        <f t="shared" si="38"/>
        <v>21</v>
      </c>
      <c r="E183" s="178" t="str">
        <f>IF(OR('Services - NHC'!E30="",'Services - NHC'!E30="[Enter service]"),"",'Services - NHC'!E30)</f>
        <v>Heritage Conservation Advice</v>
      </c>
      <c r="F183" s="179" t="str">
        <f>IF(OR('Services - NHC'!F30="",'Services - NHC'!F30="[Select]"),"",'Services - NHC'!F30)</f>
        <v>External</v>
      </c>
      <c r="G183" s="191">
        <f>IF('Revenue - Base year'!V32="","",'Revenue - Base year'!V32)</f>
        <v>0</v>
      </c>
      <c r="H183" s="191">
        <f t="shared" si="27"/>
        <v>0</v>
      </c>
      <c r="I183" s="191">
        <f>IF('Expenditure - Base year'!R31="","",'Expenditure - Base year'!R31)</f>
        <v>39000</v>
      </c>
      <c r="J183" s="190">
        <f t="shared" si="28"/>
        <v>75000</v>
      </c>
      <c r="K183" s="207">
        <f t="shared" si="29"/>
        <v>0</v>
      </c>
      <c r="L183" s="211">
        <f t="shared" si="30"/>
        <v>36000</v>
      </c>
      <c r="M183" s="205"/>
      <c r="N183" s="206"/>
      <c r="P183" s="13"/>
      <c r="Q183" s="184" t="str">
        <f t="shared" si="31"/>
        <v>Parks, open space and streetscapes</v>
      </c>
      <c r="R183" s="143">
        <f>IF('Assets - Base year'!N189="","0",'Assets - Base year'!N189)</f>
        <v>90000</v>
      </c>
      <c r="S183" s="143">
        <f>IF('Assets - Base year'!O189="","0",'Assets - Base year'!O189)</f>
        <v>73343.248399999997</v>
      </c>
      <c r="T183" s="143">
        <f>IF('Assets - Base year'!P189="","0",'Assets - Base year'!P189)</f>
        <v>0</v>
      </c>
      <c r="U183" s="143">
        <f>IF('Assets - Base year'!Q189="","0",'Assets - Base year'!Q189)</f>
        <v>13485.0996</v>
      </c>
      <c r="V183" s="143">
        <f>IF('Assets - Base year'!R189="","0",'Assets - Base year'!R189)</f>
        <v>176828.34799999997</v>
      </c>
      <c r="W183" s="143">
        <f t="shared" ref="W183:AA186" si="46">W31</f>
        <v>659450.30000000005</v>
      </c>
      <c r="X183" s="143">
        <f t="shared" si="46"/>
        <v>255967.75</v>
      </c>
      <c r="Y183" s="143">
        <f t="shared" si="46"/>
        <v>0</v>
      </c>
      <c r="Z183" s="143">
        <f t="shared" si="46"/>
        <v>34895.1</v>
      </c>
      <c r="AA183" s="143">
        <f t="shared" si="46"/>
        <v>950313.15</v>
      </c>
      <c r="AB183" s="185"/>
      <c r="AC183" s="184" t="str">
        <f t="shared" si="32"/>
        <v>Parks, open space and streetscapes</v>
      </c>
      <c r="AD183" s="143">
        <f t="shared" si="41"/>
        <v>569450.30000000005</v>
      </c>
      <c r="AE183" s="143">
        <f t="shared" si="42"/>
        <v>182624.50160000002</v>
      </c>
      <c r="AF183" s="143">
        <f t="shared" si="43"/>
        <v>0</v>
      </c>
      <c r="AG183" s="143">
        <f t="shared" si="44"/>
        <v>21410.000399999997</v>
      </c>
      <c r="AH183" s="143">
        <f t="shared" si="45"/>
        <v>773484.80200000003</v>
      </c>
      <c r="AI183" s="31"/>
    </row>
    <row r="184" spans="1:35" x14ac:dyDescent="0.2">
      <c r="C184" s="13"/>
      <c r="D184" s="19">
        <f t="shared" si="38"/>
        <v>22</v>
      </c>
      <c r="E184" s="178" t="str">
        <f>IF(OR('Services - NHC'!E31="",'Services - NHC'!E31="[Enter service]"),"",'Services - NHC'!E31)</f>
        <v>Building Control</v>
      </c>
      <c r="F184" s="179" t="str">
        <f>IF(OR('Services - NHC'!F31="",'Services - NHC'!F31="[Select]"),"",'Services - NHC'!F31)</f>
        <v>External</v>
      </c>
      <c r="G184" s="191">
        <f>IF('Revenue - Base year'!V33="","",'Revenue - Base year'!V33)</f>
        <v>15000</v>
      </c>
      <c r="H184" s="191">
        <f t="shared" si="27"/>
        <v>15000</v>
      </c>
      <c r="I184" s="191">
        <f>IF('Expenditure - Base year'!R32="","",'Expenditure - Base year'!R32)</f>
        <v>57200</v>
      </c>
      <c r="J184" s="190">
        <f t="shared" si="28"/>
        <v>58600</v>
      </c>
      <c r="K184" s="207">
        <f t="shared" si="29"/>
        <v>0</v>
      </c>
      <c r="L184" s="211">
        <f t="shared" si="30"/>
        <v>1400</v>
      </c>
      <c r="M184" s="205"/>
      <c r="N184" s="206"/>
      <c r="P184" s="13"/>
      <c r="Q184" s="184" t="str">
        <f t="shared" si="31"/>
        <v>Aerodromes</v>
      </c>
      <c r="R184" s="143">
        <f>IF('Assets - Base year'!N190="","0",'Assets - Base year'!N190)</f>
        <v>0</v>
      </c>
      <c r="S184" s="143">
        <f>IF('Assets - Base year'!O190="","0",'Assets - Base year'!O190)</f>
        <v>0</v>
      </c>
      <c r="T184" s="143">
        <f>IF('Assets - Base year'!P190="","0",'Assets - Base year'!P190)</f>
        <v>0</v>
      </c>
      <c r="U184" s="143">
        <f>IF('Assets - Base year'!Q190="","0",'Assets - Base year'!Q190)</f>
        <v>0</v>
      </c>
      <c r="V184" s="143">
        <f>IF('Assets - Base year'!R190="","0",'Assets - Base year'!R190)</f>
        <v>0</v>
      </c>
      <c r="W184" s="148">
        <f t="shared" si="46"/>
        <v>0</v>
      </c>
      <c r="X184" s="148">
        <f t="shared" si="46"/>
        <v>0</v>
      </c>
      <c r="Y184" s="148">
        <f t="shared" si="46"/>
        <v>0</v>
      </c>
      <c r="Z184" s="148">
        <f t="shared" si="46"/>
        <v>0</v>
      </c>
      <c r="AA184" s="148">
        <f t="shared" si="46"/>
        <v>0</v>
      </c>
      <c r="AB184" s="185"/>
      <c r="AC184" s="184" t="str">
        <f t="shared" si="32"/>
        <v>Aerodromes</v>
      </c>
      <c r="AD184" s="143">
        <f t="shared" si="41"/>
        <v>0</v>
      </c>
      <c r="AE184" s="143">
        <f t="shared" si="42"/>
        <v>0</v>
      </c>
      <c r="AF184" s="143">
        <f t="shared" si="43"/>
        <v>0</v>
      </c>
      <c r="AG184" s="143">
        <f t="shared" si="44"/>
        <v>0</v>
      </c>
      <c r="AH184" s="143">
        <f t="shared" si="45"/>
        <v>0</v>
      </c>
      <c r="AI184" s="31"/>
    </row>
    <row r="185" spans="1:35" x14ac:dyDescent="0.2">
      <c r="C185" s="13"/>
      <c r="D185" s="19">
        <f t="shared" si="38"/>
        <v>23</v>
      </c>
      <c r="E185" s="178" t="str">
        <f>IF(OR('Services - NHC'!E32="",'Services - NHC'!E32="[Enter service]"),"",'Services - NHC'!E32)</f>
        <v>Council Governance</v>
      </c>
      <c r="F185" s="179" t="str">
        <f>IF(OR('Services - NHC'!F32="",'Services - NHC'!F32="[Select]"),"",'Services - NHC'!F32)</f>
        <v>Mixed</v>
      </c>
      <c r="G185" s="191">
        <f>IF('Revenue - Base year'!V34="","",'Revenue - Base year'!V34)</f>
        <v>0</v>
      </c>
      <c r="H185" s="191">
        <f t="shared" si="27"/>
        <v>0</v>
      </c>
      <c r="I185" s="191">
        <f>IF('Expenditure - Base year'!R33="","",'Expenditure - Base year'!R33)</f>
        <v>356338.83090909093</v>
      </c>
      <c r="J185" s="190">
        <f t="shared" si="28"/>
        <v>248900</v>
      </c>
      <c r="K185" s="207">
        <f t="shared" si="29"/>
        <v>0</v>
      </c>
      <c r="L185" s="211">
        <f t="shared" si="30"/>
        <v>-107438.83090909093</v>
      </c>
      <c r="M185" s="205"/>
      <c r="N185" s="206"/>
      <c r="P185" s="13"/>
      <c r="Q185" s="184" t="str">
        <f t="shared" si="31"/>
        <v>Off street car parks</v>
      </c>
      <c r="R185" s="143">
        <f>IF('Assets - Base year'!N191="","0",'Assets - Base year'!N191)</f>
        <v>0</v>
      </c>
      <c r="S185" s="143">
        <f>IF('Assets - Base year'!O191="","0",'Assets - Base year'!O191)</f>
        <v>1710</v>
      </c>
      <c r="T185" s="143">
        <f>IF('Assets - Base year'!P191="","0",'Assets - Base year'!P191)</f>
        <v>0</v>
      </c>
      <c r="U185" s="143">
        <f>IF('Assets - Base year'!Q191="","0",'Assets - Base year'!Q191)</f>
        <v>190</v>
      </c>
      <c r="V185" s="143">
        <f>IF('Assets - Base year'!R191="","0",'Assets - Base year'!R191)</f>
        <v>1900</v>
      </c>
      <c r="W185" s="143">
        <f t="shared" si="46"/>
        <v>22312.5</v>
      </c>
      <c r="X185" s="143">
        <f t="shared" si="46"/>
        <v>0</v>
      </c>
      <c r="Y185" s="143">
        <f t="shared" si="46"/>
        <v>0</v>
      </c>
      <c r="Z185" s="143">
        <f t="shared" si="46"/>
        <v>3937.5</v>
      </c>
      <c r="AA185" s="143">
        <f t="shared" si="46"/>
        <v>26250</v>
      </c>
      <c r="AB185" s="185"/>
      <c r="AC185" s="184" t="str">
        <f t="shared" si="32"/>
        <v>Off street car parks</v>
      </c>
      <c r="AD185" s="143">
        <f t="shared" si="41"/>
        <v>22312.5</v>
      </c>
      <c r="AE185" s="143">
        <f t="shared" si="42"/>
        <v>-1710</v>
      </c>
      <c r="AF185" s="143">
        <f t="shared" si="43"/>
        <v>0</v>
      </c>
      <c r="AG185" s="143">
        <f t="shared" si="44"/>
        <v>3747.5</v>
      </c>
      <c r="AH185" s="143">
        <f t="shared" si="45"/>
        <v>24350</v>
      </c>
      <c r="AI185" s="31"/>
    </row>
    <row r="186" spans="1:35" ht="25.5" x14ac:dyDescent="0.2">
      <c r="C186" s="13"/>
      <c r="D186" s="85">
        <f t="shared" si="38"/>
        <v>24</v>
      </c>
      <c r="E186" s="178" t="str">
        <f>IF(OR('Services - NHC'!E33="",'Services - NHC'!E33="[Enter service]"),"",'Services - NHC'!E33)</f>
        <v>Organisation Performance and Compliance</v>
      </c>
      <c r="F186" s="179" t="str">
        <f>IF(OR('Services - NHC'!F33="",'Services - NHC'!F33="[Select]"),"",'Services - NHC'!F33)</f>
        <v>Internal</v>
      </c>
      <c r="G186" s="191">
        <f>IF('Revenue - Base year'!V35="","",'Revenue - Base year'!V35)</f>
        <v>199196</v>
      </c>
      <c r="H186" s="191">
        <f t="shared" si="27"/>
        <v>199100</v>
      </c>
      <c r="I186" s="191">
        <f>IF('Expenditure - Base year'!R34="","",'Expenditure - Base year'!R34)</f>
        <v>1154586.05</v>
      </c>
      <c r="J186" s="190">
        <f t="shared" si="28"/>
        <v>1239923</v>
      </c>
      <c r="K186" s="207">
        <f t="shared" si="29"/>
        <v>-96</v>
      </c>
      <c r="L186" s="211">
        <f t="shared" si="30"/>
        <v>85336.949999999953</v>
      </c>
      <c r="M186" s="205"/>
      <c r="N186" s="206"/>
      <c r="P186" s="13"/>
      <c r="Q186" s="184" t="str">
        <f t="shared" si="31"/>
        <v>Other infrastructure</v>
      </c>
      <c r="R186" s="143">
        <f>IF('Assets - Base year'!N192="","0",'Assets - Base year'!N192)</f>
        <v>198000</v>
      </c>
      <c r="S186" s="143">
        <f>IF('Assets - Base year'!O192="","0",'Assets - Base year'!O192)</f>
        <v>9060</v>
      </c>
      <c r="T186" s="143">
        <f>IF('Assets - Base year'!P192="","0",'Assets - Base year'!P192)</f>
        <v>0</v>
      </c>
      <c r="U186" s="143">
        <f>IF('Assets - Base year'!Q192="","0",'Assets - Base year'!Q192)</f>
        <v>20000</v>
      </c>
      <c r="V186" s="143">
        <f>IF('Assets - Base year'!R192="","0",'Assets - Base year'!R192)</f>
        <v>227060</v>
      </c>
      <c r="W186" s="143">
        <f t="shared" si="46"/>
        <v>216000</v>
      </c>
      <c r="X186" s="143">
        <f t="shared" si="46"/>
        <v>48647.07</v>
      </c>
      <c r="Y186" s="143">
        <f t="shared" si="46"/>
        <v>0</v>
      </c>
      <c r="Z186" s="143">
        <f t="shared" si="46"/>
        <v>20000</v>
      </c>
      <c r="AA186" s="143">
        <f t="shared" si="46"/>
        <v>284647.07</v>
      </c>
      <c r="AB186" s="185"/>
      <c r="AC186" s="184" t="str">
        <f t="shared" si="32"/>
        <v>Other infrastructure</v>
      </c>
      <c r="AD186" s="143">
        <f t="shared" si="41"/>
        <v>18000</v>
      </c>
      <c r="AE186" s="143">
        <f t="shared" si="42"/>
        <v>39587.07</v>
      </c>
      <c r="AF186" s="143">
        <f t="shared" si="43"/>
        <v>0</v>
      </c>
      <c r="AG186" s="143">
        <f t="shared" si="44"/>
        <v>0</v>
      </c>
      <c r="AH186" s="143">
        <f t="shared" si="45"/>
        <v>57587.070000000007</v>
      </c>
      <c r="AI186" s="31"/>
    </row>
    <row r="187" spans="1:35" ht="25.5" x14ac:dyDescent="0.2">
      <c r="C187" s="13"/>
      <c r="D187" s="19">
        <f t="shared" si="38"/>
        <v>25</v>
      </c>
      <c r="E187" s="178" t="str">
        <f>IF(OR('Services - NHC'!E34="",'Services - NHC'!E34="[Enter service]"),"",'Services - NHC'!E34)</f>
        <v>Community Engagement and Customer Service</v>
      </c>
      <c r="F187" s="179" t="str">
        <f>IF(OR('Services - NHC'!F34="",'Services - NHC'!F34="[Select]"),"",'Services - NHC'!F34)</f>
        <v>Mixed</v>
      </c>
      <c r="G187" s="191">
        <f>IF('Revenue - Base year'!V36="","",'Revenue - Base year'!V36)</f>
        <v>83.7</v>
      </c>
      <c r="H187" s="191">
        <f t="shared" si="27"/>
        <v>0</v>
      </c>
      <c r="I187" s="191">
        <f>IF('Expenditure - Base year'!R35="","",'Expenditure - Base year'!R35)</f>
        <v>491329.19000000006</v>
      </c>
      <c r="J187" s="190">
        <f t="shared" si="28"/>
        <v>481300</v>
      </c>
      <c r="K187" s="207">
        <f t="shared" si="29"/>
        <v>-83.7</v>
      </c>
      <c r="L187" s="211">
        <f t="shared" si="30"/>
        <v>-10029.190000000061</v>
      </c>
      <c r="M187" s="205"/>
      <c r="N187" s="206"/>
      <c r="P187" s="13"/>
      <c r="Q187" s="199" t="s">
        <v>87</v>
      </c>
      <c r="R187" s="185">
        <f>R176+R170+R163</f>
        <v>612163.82999999996</v>
      </c>
      <c r="S187" s="185">
        <f t="shared" ref="S187:AA187" si="47">S176+S170+S163</f>
        <v>851434.89199999999</v>
      </c>
      <c r="T187" s="185">
        <f t="shared" si="47"/>
        <v>0</v>
      </c>
      <c r="U187" s="185">
        <f t="shared" si="47"/>
        <v>392877.45799999998</v>
      </c>
      <c r="V187" s="185">
        <f t="shared" si="47"/>
        <v>1856476.18</v>
      </c>
      <c r="W187" s="185">
        <f t="shared" si="47"/>
        <v>1583098.4105</v>
      </c>
      <c r="X187" s="185">
        <f t="shared" si="47"/>
        <v>1541684.7344999998</v>
      </c>
      <c r="Y187" s="185">
        <f t="shared" si="47"/>
        <v>0</v>
      </c>
      <c r="Z187" s="185">
        <f t="shared" si="47"/>
        <v>1106108.7149999999</v>
      </c>
      <c r="AA187" s="185">
        <f t="shared" si="47"/>
        <v>4230891.8599999994</v>
      </c>
      <c r="AB187" s="185"/>
      <c r="AC187" s="199" t="s">
        <v>87</v>
      </c>
      <c r="AD187" s="185">
        <f>AD176+AD170+AD163</f>
        <v>970934.58049999992</v>
      </c>
      <c r="AE187" s="185">
        <f>AE176+AE170+AE163</f>
        <v>690249.84250000003</v>
      </c>
      <c r="AF187" s="185">
        <f>AF176+AF170+AF163</f>
        <v>0</v>
      </c>
      <c r="AG187" s="185">
        <f>AG176+AG170+AG163</f>
        <v>713231.25699999998</v>
      </c>
      <c r="AH187" s="185">
        <f>AH176+AH170+AH163</f>
        <v>2374415.6799999997</v>
      </c>
      <c r="AI187" s="31"/>
    </row>
    <row r="188" spans="1:35" x14ac:dyDescent="0.2">
      <c r="C188" s="13"/>
      <c r="D188" s="19">
        <f t="shared" si="38"/>
        <v>26</v>
      </c>
      <c r="E188" s="178" t="str">
        <f>IF(OR('Services - NHC'!E35="",'Services - NHC'!E35="[Enter service]"),"",'Services - NHC'!E35)</f>
        <v>Financial and Risk Management</v>
      </c>
      <c r="F188" s="179" t="str">
        <f>IF(OR('Services - NHC'!F35="",'Services - NHC'!F35="[Select]"),"",'Services - NHC'!F35)</f>
        <v>Internal</v>
      </c>
      <c r="G188" s="191">
        <f>IF('Revenue - Base year'!V37="","",'Revenue - Base year'!V37)</f>
        <v>193765.88</v>
      </c>
      <c r="H188" s="191">
        <f t="shared" si="27"/>
        <v>226373</v>
      </c>
      <c r="I188" s="191">
        <f>IF('Expenditure - Base year'!R36="","",'Expenditure - Base year'!R36)</f>
        <v>2087260.8736</v>
      </c>
      <c r="J188" s="190">
        <f t="shared" si="28"/>
        <v>2197599.2435499998</v>
      </c>
      <c r="K188" s="207">
        <f t="shared" si="29"/>
        <v>32607.119999999995</v>
      </c>
      <c r="L188" s="211">
        <f t="shared" si="30"/>
        <v>110338.36994999973</v>
      </c>
      <c r="M188" s="205"/>
      <c r="N188" s="206"/>
      <c r="P188" s="13"/>
      <c r="Q188" s="185"/>
      <c r="R188" s="185"/>
      <c r="S188" s="185"/>
      <c r="T188" s="185"/>
      <c r="U188" s="185"/>
      <c r="V188" s="185"/>
      <c r="W188" s="185"/>
      <c r="X188" s="185"/>
      <c r="Y188" s="185"/>
      <c r="Z188" s="185"/>
      <c r="AA188" s="185"/>
      <c r="AB188" s="185"/>
      <c r="AC188" s="185"/>
      <c r="AD188" s="185"/>
      <c r="AE188" s="185"/>
      <c r="AF188" s="185"/>
      <c r="AG188" s="185"/>
      <c r="AH188" s="185"/>
      <c r="AI188" s="31"/>
    </row>
    <row r="189" spans="1:35" ht="13.5" thickBot="1" x14ac:dyDescent="0.25">
      <c r="C189" s="13"/>
      <c r="D189" s="19">
        <f t="shared" si="38"/>
        <v>27</v>
      </c>
      <c r="E189" s="178" t="str">
        <f>IF(OR('Services - NHC'!E36="",'Services - NHC'!E36="[Enter service]"),"",'Services - NHC'!E36)</f>
        <v/>
      </c>
      <c r="F189" s="179" t="str">
        <f>IF(OR('Services - NHC'!F36="",'Services - NHC'!F36="[Select]"),"",'Services - NHC'!F36)</f>
        <v/>
      </c>
      <c r="G189" s="191">
        <f>IF('Revenue - Base year'!V38="","",'Revenue - Base year'!V38)</f>
        <v>0</v>
      </c>
      <c r="H189" s="191">
        <f t="shared" si="27"/>
        <v>0</v>
      </c>
      <c r="I189" s="191">
        <f>IF('Expenditure - Base year'!R37="","",'Expenditure - Base year'!R37)</f>
        <v>0</v>
      </c>
      <c r="J189" s="190">
        <f t="shared" si="28"/>
        <v>0</v>
      </c>
      <c r="K189" s="207">
        <f t="shared" si="29"/>
        <v>0</v>
      </c>
      <c r="L189" s="211">
        <f t="shared" si="30"/>
        <v>0</v>
      </c>
      <c r="M189" s="205"/>
      <c r="N189" s="206"/>
      <c r="P189" s="32"/>
      <c r="Q189" s="33"/>
      <c r="R189" s="195"/>
      <c r="S189" s="56"/>
      <c r="T189" s="90"/>
      <c r="U189" s="173"/>
      <c r="V189" s="173"/>
      <c r="W189" s="93"/>
      <c r="X189" s="175"/>
      <c r="Y189" s="175"/>
      <c r="Z189" s="175"/>
      <c r="AA189" s="175"/>
      <c r="AB189" s="175"/>
      <c r="AC189" s="175"/>
      <c r="AD189" s="175"/>
      <c r="AE189" s="175"/>
      <c r="AF189" s="175"/>
      <c r="AG189" s="175"/>
      <c r="AH189" s="175"/>
      <c r="AI189" s="48"/>
    </row>
    <row r="190" spans="1:35" x14ac:dyDescent="0.2">
      <c r="C190" s="13"/>
      <c r="D190" s="85">
        <f t="shared" si="38"/>
        <v>28</v>
      </c>
      <c r="E190" s="178" t="str">
        <f>IF(OR('Services - NHC'!E37="",'Services - NHC'!E37="[Enter service]"),"",'Services - NHC'!E37)</f>
        <v>Capital Works Program</v>
      </c>
      <c r="F190" s="179" t="str">
        <f>IF(OR('Services - NHC'!F37="",'Services - NHC'!F37="[Select]"),"",'Services - NHC'!F37)</f>
        <v>External</v>
      </c>
      <c r="G190" s="191">
        <f>IF('Revenue - Base year'!V39="","",'Revenue - Base year'!V39)</f>
        <v>18000</v>
      </c>
      <c r="H190" s="191">
        <f t="shared" si="27"/>
        <v>2852751</v>
      </c>
      <c r="I190" s="191">
        <f>IF('Expenditure - Base year'!R38="","",'Expenditure - Base year'!R38)</f>
        <v>0</v>
      </c>
      <c r="J190" s="190">
        <f t="shared" si="28"/>
        <v>0</v>
      </c>
      <c r="K190" s="207">
        <f t="shared" si="29"/>
        <v>2834751</v>
      </c>
      <c r="L190" s="211">
        <f t="shared" si="30"/>
        <v>0</v>
      </c>
      <c r="M190" s="205"/>
      <c r="N190" s="206"/>
    </row>
    <row r="191" spans="1:35" x14ac:dyDescent="0.2">
      <c r="C191" s="13"/>
      <c r="D191" s="19">
        <f t="shared" si="38"/>
        <v>29</v>
      </c>
      <c r="E191" s="178" t="str">
        <f>IF(OR('Services - NHC'!E38="",'Services - NHC'!E38="[Enter service]"),"",'Services - NHC'!E38)</f>
        <v/>
      </c>
      <c r="F191" s="179" t="str">
        <f>IF(OR('Services - NHC'!F38="",'Services - NHC'!F38="[Select]"),"",'Services - NHC'!F38)</f>
        <v/>
      </c>
      <c r="G191" s="191">
        <f>IF('Revenue - Base year'!V40="","",'Revenue - Base year'!V40)</f>
        <v>0</v>
      </c>
      <c r="H191" s="191">
        <f t="shared" si="27"/>
        <v>0</v>
      </c>
      <c r="I191" s="191">
        <f>IF('Expenditure - Base year'!R39="","",'Expenditure - Base year'!R39)</f>
        <v>0</v>
      </c>
      <c r="J191" s="190">
        <f t="shared" si="28"/>
        <v>0</v>
      </c>
      <c r="K191" s="207">
        <f t="shared" si="29"/>
        <v>0</v>
      </c>
      <c r="L191" s="211">
        <f t="shared" si="30"/>
        <v>0</v>
      </c>
      <c r="M191" s="205"/>
      <c r="N191" s="206"/>
    </row>
    <row r="192" spans="1:35" x14ac:dyDescent="0.2">
      <c r="C192" s="13"/>
      <c r="D192" s="19">
        <f t="shared" si="38"/>
        <v>30</v>
      </c>
      <c r="E192" s="178" t="str">
        <f>IF(OR('Services - NHC'!E39="",'Services - NHC'!E39="[Enter service]"),"",'Services - NHC'!E39)</f>
        <v/>
      </c>
      <c r="F192" s="179" t="str">
        <f>IF(OR('Services - NHC'!F39="",'Services - NHC'!F39="[Select]"),"",'Services - NHC'!F39)</f>
        <v/>
      </c>
      <c r="G192" s="191">
        <f>IF('Revenue - Base year'!V41="","",'Revenue - Base year'!V41)</f>
        <v>0</v>
      </c>
      <c r="H192" s="191">
        <f t="shared" si="27"/>
        <v>0</v>
      </c>
      <c r="I192" s="191">
        <f>IF('Expenditure - Base year'!R40="","",'Expenditure - Base year'!R40)</f>
        <v>0</v>
      </c>
      <c r="J192" s="190">
        <f t="shared" si="28"/>
        <v>0</v>
      </c>
      <c r="K192" s="207">
        <f t="shared" si="29"/>
        <v>0</v>
      </c>
      <c r="L192" s="211">
        <f t="shared" si="30"/>
        <v>0</v>
      </c>
      <c r="M192" s="205"/>
      <c r="N192" s="206"/>
    </row>
    <row r="193" spans="3:14" x14ac:dyDescent="0.2">
      <c r="C193" s="13"/>
      <c r="D193" s="19">
        <f t="shared" si="38"/>
        <v>31</v>
      </c>
      <c r="E193" s="178" t="str">
        <f>IF(OR('Services - NHC'!E40="",'Services - NHC'!E40="[Enter service]"),"",'Services - NHC'!E40)</f>
        <v/>
      </c>
      <c r="F193" s="179" t="str">
        <f>IF(OR('Services - NHC'!F40="",'Services - NHC'!F40="[Select]"),"",'Services - NHC'!F40)</f>
        <v/>
      </c>
      <c r="G193" s="191">
        <f>IF('Revenue - Base year'!V42="","",'Revenue - Base year'!V42)</f>
        <v>0</v>
      </c>
      <c r="H193" s="191">
        <f t="shared" si="27"/>
        <v>0</v>
      </c>
      <c r="I193" s="191">
        <f>IF('Expenditure - Base year'!R41="","",'Expenditure - Base year'!R41)</f>
        <v>0</v>
      </c>
      <c r="J193" s="190">
        <f t="shared" si="28"/>
        <v>0</v>
      </c>
      <c r="K193" s="207">
        <f t="shared" si="29"/>
        <v>0</v>
      </c>
      <c r="L193" s="211">
        <f t="shared" si="30"/>
        <v>0</v>
      </c>
      <c r="M193" s="205"/>
      <c r="N193" s="206"/>
    </row>
    <row r="194" spans="3:14" x14ac:dyDescent="0.2">
      <c r="C194" s="13"/>
      <c r="D194" s="85">
        <f t="shared" si="38"/>
        <v>32</v>
      </c>
      <c r="E194" s="178" t="str">
        <f>IF(OR('Services - NHC'!E41="",'Services - NHC'!E41="[Enter service]"),"",'Services - NHC'!E41)</f>
        <v/>
      </c>
      <c r="F194" s="179" t="str">
        <f>IF(OR('Services - NHC'!F41="",'Services - NHC'!F41="[Select]"),"",'Services - NHC'!F41)</f>
        <v/>
      </c>
      <c r="G194" s="191">
        <f>IF('Revenue - Base year'!V43="","",'Revenue - Base year'!V43)</f>
        <v>0</v>
      </c>
      <c r="H194" s="191">
        <f t="shared" si="27"/>
        <v>0</v>
      </c>
      <c r="I194" s="191">
        <f>IF('Expenditure - Base year'!R42="","",'Expenditure - Base year'!R42)</f>
        <v>0</v>
      </c>
      <c r="J194" s="190">
        <f t="shared" si="28"/>
        <v>0</v>
      </c>
      <c r="K194" s="207">
        <f t="shared" si="29"/>
        <v>0</v>
      </c>
      <c r="L194" s="211">
        <f t="shared" si="30"/>
        <v>0</v>
      </c>
      <c r="M194" s="205"/>
      <c r="N194" s="206"/>
    </row>
    <row r="195" spans="3:14" x14ac:dyDescent="0.2">
      <c r="C195" s="13"/>
      <c r="D195" s="19">
        <f t="shared" si="38"/>
        <v>33</v>
      </c>
      <c r="E195" s="178" t="str">
        <f>IF(OR('Services - NHC'!E42="",'Services - NHC'!E42="[Enter service]"),"",'Services - NHC'!E42)</f>
        <v/>
      </c>
      <c r="F195" s="179" t="str">
        <f>IF(OR('Services - NHC'!F42="",'Services - NHC'!F42="[Select]"),"",'Services - NHC'!F42)</f>
        <v/>
      </c>
      <c r="G195" s="191">
        <f>IF('Revenue - Base year'!V44="","",'Revenue - Base year'!V44)</f>
        <v>0</v>
      </c>
      <c r="H195" s="191">
        <f t="shared" si="27"/>
        <v>0</v>
      </c>
      <c r="I195" s="191">
        <f>IF('Expenditure - Base year'!R43="","",'Expenditure - Base year'!R43)</f>
        <v>0</v>
      </c>
      <c r="J195" s="190">
        <f t="shared" si="28"/>
        <v>0</v>
      </c>
      <c r="K195" s="207">
        <f t="shared" si="29"/>
        <v>0</v>
      </c>
      <c r="L195" s="211">
        <f t="shared" si="30"/>
        <v>0</v>
      </c>
      <c r="M195" s="205"/>
      <c r="N195" s="206"/>
    </row>
    <row r="196" spans="3:14" x14ac:dyDescent="0.2">
      <c r="C196" s="13"/>
      <c r="D196" s="19">
        <f t="shared" si="38"/>
        <v>34</v>
      </c>
      <c r="E196" s="178" t="str">
        <f>IF(OR('Services - NHC'!E43="",'Services - NHC'!E43="[Enter service]"),"",'Services - NHC'!E43)</f>
        <v/>
      </c>
      <c r="F196" s="179" t="str">
        <f>IF(OR('Services - NHC'!F43="",'Services - NHC'!F43="[Select]"),"",'Services - NHC'!F43)</f>
        <v/>
      </c>
      <c r="G196" s="191">
        <f>IF('Revenue - Base year'!V45="","",'Revenue - Base year'!V45)</f>
        <v>0</v>
      </c>
      <c r="H196" s="191">
        <f t="shared" si="27"/>
        <v>0</v>
      </c>
      <c r="I196" s="191">
        <f>IF('Expenditure - Base year'!R44="","",'Expenditure - Base year'!R44)</f>
        <v>0</v>
      </c>
      <c r="J196" s="190">
        <f t="shared" si="28"/>
        <v>0</v>
      </c>
      <c r="K196" s="207">
        <f t="shared" si="29"/>
        <v>0</v>
      </c>
      <c r="L196" s="211">
        <f t="shared" si="30"/>
        <v>0</v>
      </c>
      <c r="M196" s="205"/>
      <c r="N196" s="206"/>
    </row>
    <row r="197" spans="3:14" x14ac:dyDescent="0.2">
      <c r="C197" s="13"/>
      <c r="D197" s="85">
        <f t="shared" si="38"/>
        <v>35</v>
      </c>
      <c r="E197" s="178" t="str">
        <f>IF(OR('Services - NHC'!E44="",'Services - NHC'!E44="[Enter service]"),"",'Services - NHC'!E44)</f>
        <v/>
      </c>
      <c r="F197" s="179" t="str">
        <f>IF(OR('Services - NHC'!F44="",'Services - NHC'!F44="[Select]"),"",'Services - NHC'!F44)</f>
        <v/>
      </c>
      <c r="G197" s="191">
        <f>IF('Revenue - Base year'!V46="","",'Revenue - Base year'!V46)</f>
        <v>0</v>
      </c>
      <c r="H197" s="191">
        <f t="shared" si="27"/>
        <v>0</v>
      </c>
      <c r="I197" s="191">
        <f>IF('Expenditure - Base year'!R45="","",'Expenditure - Base year'!R45)</f>
        <v>0</v>
      </c>
      <c r="J197" s="190">
        <f t="shared" si="28"/>
        <v>0</v>
      </c>
      <c r="K197" s="207">
        <f t="shared" si="29"/>
        <v>0</v>
      </c>
      <c r="L197" s="211">
        <f t="shared" si="30"/>
        <v>0</v>
      </c>
      <c r="M197" s="205"/>
      <c r="N197" s="206"/>
    </row>
    <row r="198" spans="3:14" x14ac:dyDescent="0.2">
      <c r="C198" s="13"/>
      <c r="D198" s="19">
        <f t="shared" si="38"/>
        <v>36</v>
      </c>
      <c r="E198" s="178" t="str">
        <f>IF(OR('Services - NHC'!E45="",'Services - NHC'!E45="[Enter service]"),"",'Services - NHC'!E45)</f>
        <v/>
      </c>
      <c r="F198" s="179" t="str">
        <f>IF(OR('Services - NHC'!F45="",'Services - NHC'!F45="[Select]"),"",'Services - NHC'!F45)</f>
        <v/>
      </c>
      <c r="G198" s="191">
        <f>IF('Revenue - Base year'!V47="","",'Revenue - Base year'!V47)</f>
        <v>0</v>
      </c>
      <c r="H198" s="191">
        <f t="shared" si="27"/>
        <v>0</v>
      </c>
      <c r="I198" s="191">
        <f>IF('Expenditure - Base year'!R46="","",'Expenditure - Base year'!R46)</f>
        <v>0</v>
      </c>
      <c r="J198" s="190">
        <f t="shared" si="28"/>
        <v>0</v>
      </c>
      <c r="K198" s="207">
        <f t="shared" si="29"/>
        <v>0</v>
      </c>
      <c r="L198" s="211">
        <f t="shared" si="30"/>
        <v>0</v>
      </c>
      <c r="M198" s="205"/>
      <c r="N198" s="206"/>
    </row>
    <row r="199" spans="3:14" x14ac:dyDescent="0.2">
      <c r="C199" s="13"/>
      <c r="D199" s="19">
        <f t="shared" si="38"/>
        <v>37</v>
      </c>
      <c r="E199" s="178" t="str">
        <f>IF(OR('Services - NHC'!E46="",'Services - NHC'!E46="[Enter service]"),"",'Services - NHC'!E46)</f>
        <v/>
      </c>
      <c r="F199" s="179" t="str">
        <f>IF(OR('Services - NHC'!F46="",'Services - NHC'!F46="[Select]"),"",'Services - NHC'!F46)</f>
        <v/>
      </c>
      <c r="G199" s="191">
        <f>IF('Revenue - Base year'!V48="","",'Revenue - Base year'!V48)</f>
        <v>0</v>
      </c>
      <c r="H199" s="191">
        <f t="shared" si="27"/>
        <v>0</v>
      </c>
      <c r="I199" s="191">
        <f>IF('Expenditure - Base year'!R47="","",'Expenditure - Base year'!R47)</f>
        <v>0</v>
      </c>
      <c r="J199" s="190">
        <f t="shared" si="28"/>
        <v>0</v>
      </c>
      <c r="K199" s="207">
        <f t="shared" si="29"/>
        <v>0</v>
      </c>
      <c r="L199" s="211">
        <f t="shared" si="30"/>
        <v>0</v>
      </c>
      <c r="M199" s="205"/>
      <c r="N199" s="206"/>
    </row>
    <row r="200" spans="3:14" x14ac:dyDescent="0.2">
      <c r="C200" s="13"/>
      <c r="D200" s="19">
        <f t="shared" si="38"/>
        <v>38</v>
      </c>
      <c r="E200" s="178" t="str">
        <f>IF(OR('Services - NHC'!E47="",'Services - NHC'!E47="[Enter service]"),"",'Services - NHC'!E47)</f>
        <v/>
      </c>
      <c r="F200" s="179" t="str">
        <f>IF(OR('Services - NHC'!F47="",'Services - NHC'!F47="[Select]"),"",'Services - NHC'!F47)</f>
        <v/>
      </c>
      <c r="G200" s="191">
        <f>IF('Revenue - Base year'!V49="","",'Revenue - Base year'!V49)</f>
        <v>0</v>
      </c>
      <c r="H200" s="191">
        <f t="shared" si="27"/>
        <v>0</v>
      </c>
      <c r="I200" s="191">
        <f>IF('Expenditure - Base year'!R48="","",'Expenditure - Base year'!R48)</f>
        <v>0</v>
      </c>
      <c r="J200" s="190">
        <f t="shared" si="28"/>
        <v>0</v>
      </c>
      <c r="K200" s="207">
        <f t="shared" si="29"/>
        <v>0</v>
      </c>
      <c r="L200" s="211">
        <f t="shared" si="30"/>
        <v>0</v>
      </c>
      <c r="M200" s="205"/>
      <c r="N200" s="206"/>
    </row>
    <row r="201" spans="3:14" x14ac:dyDescent="0.2">
      <c r="C201" s="13"/>
      <c r="D201" s="85">
        <f t="shared" si="38"/>
        <v>39</v>
      </c>
      <c r="E201" s="178" t="str">
        <f>IF(OR('Services - NHC'!E48="",'Services - NHC'!E48="[Enter service]"),"",'Services - NHC'!E48)</f>
        <v/>
      </c>
      <c r="F201" s="179" t="str">
        <f>IF(OR('Services - NHC'!F48="",'Services - NHC'!F48="[Select]"),"",'Services - NHC'!F48)</f>
        <v/>
      </c>
      <c r="G201" s="191">
        <f>IF('Revenue - Base year'!V50="","",'Revenue - Base year'!V50)</f>
        <v>0</v>
      </c>
      <c r="H201" s="191">
        <f t="shared" si="27"/>
        <v>0</v>
      </c>
      <c r="I201" s="191">
        <f>IF('Expenditure - Base year'!R49="","",'Expenditure - Base year'!R49)</f>
        <v>0</v>
      </c>
      <c r="J201" s="190">
        <f t="shared" si="28"/>
        <v>0</v>
      </c>
      <c r="K201" s="207">
        <f t="shared" si="29"/>
        <v>0</v>
      </c>
      <c r="L201" s="211">
        <f t="shared" si="30"/>
        <v>0</v>
      </c>
      <c r="M201" s="205"/>
      <c r="N201" s="206"/>
    </row>
    <row r="202" spans="3:14" x14ac:dyDescent="0.2">
      <c r="C202" s="13"/>
      <c r="D202" s="19">
        <f t="shared" si="38"/>
        <v>40</v>
      </c>
      <c r="E202" s="178" t="str">
        <f>IF(OR('Services - NHC'!E49="",'Services - NHC'!E49="[Enter service]"),"",'Services - NHC'!E49)</f>
        <v/>
      </c>
      <c r="F202" s="179" t="str">
        <f>IF(OR('Services - NHC'!F49="",'Services - NHC'!F49="[Select]"),"",'Services - NHC'!F49)</f>
        <v/>
      </c>
      <c r="G202" s="191">
        <f>IF('Revenue - Base year'!V51="","",'Revenue - Base year'!V51)</f>
        <v>0</v>
      </c>
      <c r="H202" s="191">
        <f t="shared" si="27"/>
        <v>0</v>
      </c>
      <c r="I202" s="191">
        <f>IF('Expenditure - Base year'!R50="","",'Expenditure - Base year'!R50)</f>
        <v>0</v>
      </c>
      <c r="J202" s="190">
        <f t="shared" si="28"/>
        <v>0</v>
      </c>
      <c r="K202" s="207">
        <f t="shared" si="29"/>
        <v>0</v>
      </c>
      <c r="L202" s="211">
        <f t="shared" si="30"/>
        <v>0</v>
      </c>
      <c r="M202" s="205"/>
      <c r="N202" s="206"/>
    </row>
    <row r="203" spans="3:14" x14ac:dyDescent="0.2">
      <c r="C203" s="13"/>
      <c r="D203" s="19">
        <f t="shared" si="38"/>
        <v>41</v>
      </c>
      <c r="E203" s="178" t="str">
        <f>IF(OR('Services - NHC'!E50="",'Services - NHC'!E50="[Enter service]"),"",'Services - NHC'!E50)</f>
        <v/>
      </c>
      <c r="F203" s="179" t="str">
        <f>IF(OR('Services - NHC'!F50="",'Services - NHC'!F50="[Select]"),"",'Services - NHC'!F50)</f>
        <v/>
      </c>
      <c r="G203" s="191">
        <f>IF('Revenue - Base year'!V52="","",'Revenue - Base year'!V52)</f>
        <v>0</v>
      </c>
      <c r="H203" s="191">
        <f t="shared" si="27"/>
        <v>0</v>
      </c>
      <c r="I203" s="191">
        <f>IF('Expenditure - Base year'!R51="","",'Expenditure - Base year'!R51)</f>
        <v>0</v>
      </c>
      <c r="J203" s="190">
        <f t="shared" si="28"/>
        <v>0</v>
      </c>
      <c r="K203" s="207">
        <f t="shared" si="29"/>
        <v>0</v>
      </c>
      <c r="L203" s="211">
        <f t="shared" si="30"/>
        <v>0</v>
      </c>
      <c r="M203" s="205"/>
      <c r="N203" s="206"/>
    </row>
    <row r="204" spans="3:14" x14ac:dyDescent="0.2">
      <c r="C204" s="13"/>
      <c r="D204" s="19">
        <f t="shared" si="38"/>
        <v>42</v>
      </c>
      <c r="E204" s="178" t="str">
        <f>IF(OR('Services - NHC'!E51="",'Services - NHC'!E51="[Enter service]"),"",'Services - NHC'!E51)</f>
        <v/>
      </c>
      <c r="F204" s="179" t="str">
        <f>IF(OR('Services - NHC'!F51="",'Services - NHC'!F51="[Select]"),"",'Services - NHC'!F51)</f>
        <v/>
      </c>
      <c r="G204" s="191">
        <f>IF('Revenue - Base year'!V53="","",'Revenue - Base year'!V53)</f>
        <v>0</v>
      </c>
      <c r="H204" s="191">
        <f t="shared" si="27"/>
        <v>0</v>
      </c>
      <c r="I204" s="191">
        <f>IF('Expenditure - Base year'!R52="","",'Expenditure - Base year'!R52)</f>
        <v>0</v>
      </c>
      <c r="J204" s="190">
        <f t="shared" si="28"/>
        <v>0</v>
      </c>
      <c r="K204" s="207">
        <f t="shared" si="29"/>
        <v>0</v>
      </c>
      <c r="L204" s="211">
        <f t="shared" si="30"/>
        <v>0</v>
      </c>
      <c r="M204" s="205"/>
      <c r="N204" s="206"/>
    </row>
    <row r="205" spans="3:14" x14ac:dyDescent="0.2">
      <c r="C205" s="13"/>
      <c r="D205" s="85">
        <f t="shared" si="38"/>
        <v>43</v>
      </c>
      <c r="E205" s="178" t="str">
        <f>IF(OR('Services - NHC'!E52="",'Services - NHC'!E52="[Enter service]"),"",'Services - NHC'!E52)</f>
        <v/>
      </c>
      <c r="F205" s="179" t="str">
        <f>IF(OR('Services - NHC'!F52="",'Services - NHC'!F52="[Select]"),"",'Services - NHC'!F52)</f>
        <v/>
      </c>
      <c r="G205" s="191">
        <f>IF('Revenue - Base year'!V54="","",'Revenue - Base year'!V54)</f>
        <v>0</v>
      </c>
      <c r="H205" s="191">
        <f t="shared" si="27"/>
        <v>0</v>
      </c>
      <c r="I205" s="191">
        <f>IF('Expenditure - Base year'!R53="","",'Expenditure - Base year'!R53)</f>
        <v>0</v>
      </c>
      <c r="J205" s="190">
        <f t="shared" si="28"/>
        <v>0</v>
      </c>
      <c r="K205" s="207">
        <f t="shared" si="29"/>
        <v>0</v>
      </c>
      <c r="L205" s="211">
        <f t="shared" si="30"/>
        <v>0</v>
      </c>
      <c r="M205" s="205"/>
      <c r="N205" s="206"/>
    </row>
    <row r="206" spans="3:14" x14ac:dyDescent="0.2">
      <c r="C206" s="13"/>
      <c r="D206" s="19">
        <f t="shared" si="38"/>
        <v>44</v>
      </c>
      <c r="E206" s="178" t="str">
        <f>IF(OR('Services - NHC'!E53="",'Services - NHC'!E53="[Enter service]"),"",'Services - NHC'!E53)</f>
        <v/>
      </c>
      <c r="F206" s="179" t="str">
        <f>IF(OR('Services - NHC'!F53="",'Services - NHC'!F53="[Select]"),"",'Services - NHC'!F53)</f>
        <v/>
      </c>
      <c r="G206" s="191">
        <f>IF('Revenue - Base year'!V55="","",'Revenue - Base year'!V55)</f>
        <v>0</v>
      </c>
      <c r="H206" s="191">
        <f t="shared" si="27"/>
        <v>0</v>
      </c>
      <c r="I206" s="191">
        <f>IF('Expenditure - Base year'!R54="","",'Expenditure - Base year'!R54)</f>
        <v>0</v>
      </c>
      <c r="J206" s="190">
        <f t="shared" si="28"/>
        <v>0</v>
      </c>
      <c r="K206" s="207">
        <f t="shared" si="29"/>
        <v>0</v>
      </c>
      <c r="L206" s="211">
        <f t="shared" si="30"/>
        <v>0</v>
      </c>
      <c r="M206" s="205"/>
      <c r="N206" s="206"/>
    </row>
    <row r="207" spans="3:14" x14ac:dyDescent="0.2">
      <c r="C207" s="13"/>
      <c r="D207" s="19">
        <f t="shared" si="38"/>
        <v>45</v>
      </c>
      <c r="E207" s="178" t="str">
        <f>IF(OR('Services - NHC'!E54="",'Services - NHC'!E54="[Enter service]"),"",'Services - NHC'!E54)</f>
        <v/>
      </c>
      <c r="F207" s="179" t="str">
        <f>IF(OR('Services - NHC'!F54="",'Services - NHC'!F54="[Select]"),"",'Services - NHC'!F54)</f>
        <v/>
      </c>
      <c r="G207" s="191">
        <f>IF('Revenue - Base year'!V56="","",'Revenue - Base year'!V56)</f>
        <v>0</v>
      </c>
      <c r="H207" s="191">
        <f t="shared" si="27"/>
        <v>0</v>
      </c>
      <c r="I207" s="191">
        <f>IF('Expenditure - Base year'!R55="","",'Expenditure - Base year'!R55)</f>
        <v>0</v>
      </c>
      <c r="J207" s="190">
        <f t="shared" si="28"/>
        <v>0</v>
      </c>
      <c r="K207" s="207">
        <f t="shared" si="29"/>
        <v>0</v>
      </c>
      <c r="L207" s="211">
        <f t="shared" si="30"/>
        <v>0</v>
      </c>
      <c r="M207" s="205"/>
      <c r="N207" s="206"/>
    </row>
    <row r="208" spans="3:14" hidden="1" outlineLevel="1" x14ac:dyDescent="0.2">
      <c r="C208" s="13"/>
      <c r="D208" s="85">
        <f t="shared" si="38"/>
        <v>46</v>
      </c>
      <c r="E208" s="178" t="str">
        <f>IF(OR('Services - NHC'!E55="",'Services - NHC'!E55="[Enter service]"),"",'Services - NHC'!E55)</f>
        <v/>
      </c>
      <c r="F208" s="179" t="str">
        <f>IF(OR('Services - NHC'!F55="",'Services - NHC'!F55="[Select]"),"",'Services - NHC'!F55)</f>
        <v/>
      </c>
      <c r="G208" s="191">
        <f>IF('Revenue - Base year'!V57="","",'Revenue - Base year'!V57)</f>
        <v>0</v>
      </c>
      <c r="H208" s="191">
        <f t="shared" si="27"/>
        <v>0</v>
      </c>
      <c r="I208" s="191">
        <f>IF('Expenditure - Base year'!R56="","",'Expenditure - Base year'!R56)</f>
        <v>0</v>
      </c>
      <c r="J208" s="190">
        <f t="shared" si="28"/>
        <v>0</v>
      </c>
      <c r="K208" s="207">
        <f t="shared" si="29"/>
        <v>0</v>
      </c>
      <c r="L208" s="211">
        <f t="shared" si="30"/>
        <v>0</v>
      </c>
      <c r="M208" s="205"/>
      <c r="N208" s="206"/>
    </row>
    <row r="209" spans="3:14" hidden="1" outlineLevel="1" x14ac:dyDescent="0.2">
      <c r="C209" s="13"/>
      <c r="D209" s="19">
        <f t="shared" si="38"/>
        <v>47</v>
      </c>
      <c r="E209" s="178" t="str">
        <f>IF(OR('Services - NHC'!E56="",'Services - NHC'!E56="[Enter service]"),"",'Services - NHC'!E56)</f>
        <v/>
      </c>
      <c r="F209" s="179" t="str">
        <f>IF(OR('Services - NHC'!F56="",'Services - NHC'!F56="[Select]"),"",'Services - NHC'!F56)</f>
        <v/>
      </c>
      <c r="G209" s="191">
        <f>IF('Revenue - Base year'!V58="","",'Revenue - Base year'!V58)</f>
        <v>0</v>
      </c>
      <c r="H209" s="191">
        <f t="shared" si="27"/>
        <v>0</v>
      </c>
      <c r="I209" s="191">
        <f>IF('Expenditure - Base year'!R57="","",'Expenditure - Base year'!R57)</f>
        <v>0</v>
      </c>
      <c r="J209" s="190">
        <f t="shared" si="28"/>
        <v>0</v>
      </c>
      <c r="K209" s="207">
        <f t="shared" si="29"/>
        <v>0</v>
      </c>
      <c r="L209" s="211">
        <f t="shared" si="30"/>
        <v>0</v>
      </c>
      <c r="M209" s="205"/>
      <c r="N209" s="206"/>
    </row>
    <row r="210" spans="3:14" hidden="1" outlineLevel="1" x14ac:dyDescent="0.2">
      <c r="C210" s="13"/>
      <c r="D210" s="19">
        <f t="shared" si="38"/>
        <v>48</v>
      </c>
      <c r="E210" s="178" t="str">
        <f>IF(OR('Services - NHC'!E57="",'Services - NHC'!E57="[Enter service]"),"",'Services - NHC'!E57)</f>
        <v/>
      </c>
      <c r="F210" s="179" t="str">
        <f>IF(OR('Services - NHC'!F57="",'Services - NHC'!F57="[Select]"),"",'Services - NHC'!F57)</f>
        <v/>
      </c>
      <c r="G210" s="191">
        <f>IF('Revenue - Base year'!V59="","",'Revenue - Base year'!V59)</f>
        <v>0</v>
      </c>
      <c r="H210" s="191">
        <f t="shared" si="27"/>
        <v>0</v>
      </c>
      <c r="I210" s="191">
        <f>IF('Expenditure - Base year'!R58="","",'Expenditure - Base year'!R58)</f>
        <v>0</v>
      </c>
      <c r="J210" s="190">
        <f t="shared" si="28"/>
        <v>0</v>
      </c>
      <c r="K210" s="207">
        <f t="shared" si="29"/>
        <v>0</v>
      </c>
      <c r="L210" s="211">
        <f t="shared" si="30"/>
        <v>0</v>
      </c>
      <c r="M210" s="205"/>
      <c r="N210" s="206"/>
    </row>
    <row r="211" spans="3:14" hidden="1" outlineLevel="1" x14ac:dyDescent="0.2">
      <c r="C211" s="13"/>
      <c r="D211" s="19">
        <f t="shared" si="38"/>
        <v>49</v>
      </c>
      <c r="E211" s="178" t="str">
        <f>IF(OR('Services - NHC'!E58="",'Services - NHC'!E58="[Enter service]"),"",'Services - NHC'!E58)</f>
        <v/>
      </c>
      <c r="F211" s="179" t="str">
        <f>IF(OR('Services - NHC'!F58="",'Services - NHC'!F58="[Select]"),"",'Services - NHC'!F58)</f>
        <v/>
      </c>
      <c r="G211" s="191">
        <f>IF('Revenue - Base year'!V60="","",'Revenue - Base year'!V60)</f>
        <v>0</v>
      </c>
      <c r="H211" s="191">
        <f t="shared" si="27"/>
        <v>0</v>
      </c>
      <c r="I211" s="191">
        <f>IF('Expenditure - Base year'!R59="","",'Expenditure - Base year'!R59)</f>
        <v>0</v>
      </c>
      <c r="J211" s="190">
        <f t="shared" si="28"/>
        <v>0</v>
      </c>
      <c r="K211" s="207">
        <f t="shared" si="29"/>
        <v>0</v>
      </c>
      <c r="L211" s="211">
        <f t="shared" si="30"/>
        <v>0</v>
      </c>
      <c r="M211" s="205"/>
      <c r="N211" s="206"/>
    </row>
    <row r="212" spans="3:14" hidden="1" outlineLevel="1" x14ac:dyDescent="0.2">
      <c r="C212" s="13"/>
      <c r="D212" s="85">
        <f t="shared" si="38"/>
        <v>50</v>
      </c>
      <c r="E212" s="178" t="str">
        <f>IF(OR('Services - NHC'!E59="",'Services - NHC'!E59="[Enter service]"),"",'Services - NHC'!E59)</f>
        <v/>
      </c>
      <c r="F212" s="179" t="str">
        <f>IF(OR('Services - NHC'!F59="",'Services - NHC'!F59="[Select]"),"",'Services - NHC'!F59)</f>
        <v/>
      </c>
      <c r="G212" s="191">
        <f>IF('Revenue - Base year'!V61="","",'Revenue - Base year'!V61)</f>
        <v>0</v>
      </c>
      <c r="H212" s="191">
        <f t="shared" si="27"/>
        <v>0</v>
      </c>
      <c r="I212" s="191">
        <f>IF('Expenditure - Base year'!R60="","",'Expenditure - Base year'!R60)</f>
        <v>0</v>
      </c>
      <c r="J212" s="190">
        <f t="shared" si="28"/>
        <v>0</v>
      </c>
      <c r="K212" s="207">
        <f t="shared" si="29"/>
        <v>0</v>
      </c>
      <c r="L212" s="211">
        <f t="shared" si="30"/>
        <v>0</v>
      </c>
      <c r="M212" s="205"/>
      <c r="N212" s="206"/>
    </row>
    <row r="213" spans="3:14" hidden="1" outlineLevel="1" x14ac:dyDescent="0.2">
      <c r="C213" s="13"/>
      <c r="D213" s="19">
        <f t="shared" si="38"/>
        <v>51</v>
      </c>
      <c r="E213" s="178" t="str">
        <f>IF(OR('Services - NHC'!E60="",'Services - NHC'!E60="[Enter service]"),"",'Services - NHC'!E60)</f>
        <v/>
      </c>
      <c r="F213" s="179" t="str">
        <f>IF(OR('Services - NHC'!F60="",'Services - NHC'!F60="[Select]"),"",'Services - NHC'!F60)</f>
        <v/>
      </c>
      <c r="G213" s="191">
        <f>IF('Revenue - Base year'!V62="","",'Revenue - Base year'!V62)</f>
        <v>0</v>
      </c>
      <c r="H213" s="191">
        <f t="shared" si="27"/>
        <v>0</v>
      </c>
      <c r="I213" s="191">
        <f>IF('Expenditure - Base year'!R61="","",'Expenditure - Base year'!R61)</f>
        <v>0</v>
      </c>
      <c r="J213" s="190">
        <f t="shared" si="28"/>
        <v>0</v>
      </c>
      <c r="K213" s="207">
        <f t="shared" si="29"/>
        <v>0</v>
      </c>
      <c r="L213" s="211">
        <f t="shared" si="30"/>
        <v>0</v>
      </c>
      <c r="M213" s="205"/>
      <c r="N213" s="206"/>
    </row>
    <row r="214" spans="3:14" hidden="1" outlineLevel="1" x14ac:dyDescent="0.2">
      <c r="C214" s="13"/>
      <c r="D214" s="19">
        <f t="shared" si="38"/>
        <v>52</v>
      </c>
      <c r="E214" s="178" t="str">
        <f>IF(OR('Services - NHC'!E61="",'Services - NHC'!E61="[Enter service]"),"",'Services - NHC'!E61)</f>
        <v/>
      </c>
      <c r="F214" s="179" t="str">
        <f>IF(OR('Services - NHC'!F61="",'Services - NHC'!F61="[Select]"),"",'Services - NHC'!F61)</f>
        <v/>
      </c>
      <c r="G214" s="191">
        <f>IF('Revenue - Base year'!V63="","",'Revenue - Base year'!V63)</f>
        <v>0</v>
      </c>
      <c r="H214" s="191">
        <f t="shared" si="27"/>
        <v>0</v>
      </c>
      <c r="I214" s="191">
        <f>IF('Expenditure - Base year'!R62="","",'Expenditure - Base year'!R62)</f>
        <v>0</v>
      </c>
      <c r="J214" s="190">
        <f t="shared" si="28"/>
        <v>0</v>
      </c>
      <c r="K214" s="207">
        <f t="shared" si="29"/>
        <v>0</v>
      </c>
      <c r="L214" s="211">
        <f t="shared" si="30"/>
        <v>0</v>
      </c>
      <c r="M214" s="205"/>
      <c r="N214" s="206"/>
    </row>
    <row r="215" spans="3:14" hidden="1" outlineLevel="1" x14ac:dyDescent="0.2">
      <c r="C215" s="13"/>
      <c r="D215" s="19">
        <f t="shared" si="38"/>
        <v>53</v>
      </c>
      <c r="E215" s="178" t="str">
        <f>IF(OR('Services - NHC'!E62="",'Services - NHC'!E62="[Enter service]"),"",'Services - NHC'!E62)</f>
        <v/>
      </c>
      <c r="F215" s="179" t="str">
        <f>IF(OR('Services - NHC'!F62="",'Services - NHC'!F62="[Select]"),"",'Services - NHC'!F62)</f>
        <v/>
      </c>
      <c r="G215" s="191">
        <f>IF('Revenue - Base year'!V64="","",'Revenue - Base year'!V64)</f>
        <v>0</v>
      </c>
      <c r="H215" s="191">
        <f t="shared" si="27"/>
        <v>0</v>
      </c>
      <c r="I215" s="191">
        <f>IF('Expenditure - Base year'!R63="","",'Expenditure - Base year'!R63)</f>
        <v>0</v>
      </c>
      <c r="J215" s="190">
        <f t="shared" si="28"/>
        <v>0</v>
      </c>
      <c r="K215" s="207">
        <f t="shared" si="29"/>
        <v>0</v>
      </c>
      <c r="L215" s="211">
        <f t="shared" si="30"/>
        <v>0</v>
      </c>
      <c r="M215" s="205"/>
      <c r="N215" s="206"/>
    </row>
    <row r="216" spans="3:14" hidden="1" outlineLevel="1" x14ac:dyDescent="0.2">
      <c r="C216" s="13"/>
      <c r="D216" s="85">
        <f t="shared" si="38"/>
        <v>54</v>
      </c>
      <c r="E216" s="178" t="str">
        <f>IF(OR('Services - NHC'!E63="",'Services - NHC'!E63="[Enter service]"),"",'Services - NHC'!E63)</f>
        <v/>
      </c>
      <c r="F216" s="179" t="str">
        <f>IF(OR('Services - NHC'!F63="",'Services - NHC'!F63="[Select]"),"",'Services - NHC'!F63)</f>
        <v/>
      </c>
      <c r="G216" s="191">
        <f>IF('Revenue - Base year'!V65="","",'Revenue - Base year'!V65)</f>
        <v>0</v>
      </c>
      <c r="H216" s="191">
        <f t="shared" si="27"/>
        <v>0</v>
      </c>
      <c r="I216" s="191">
        <f>IF('Expenditure - Base year'!R64="","",'Expenditure - Base year'!R64)</f>
        <v>0</v>
      </c>
      <c r="J216" s="190">
        <f t="shared" si="28"/>
        <v>0</v>
      </c>
      <c r="K216" s="207">
        <f t="shared" si="29"/>
        <v>0</v>
      </c>
      <c r="L216" s="211">
        <f t="shared" si="30"/>
        <v>0</v>
      </c>
      <c r="M216" s="205"/>
      <c r="N216" s="206"/>
    </row>
    <row r="217" spans="3:14" hidden="1" outlineLevel="1" x14ac:dyDescent="0.2">
      <c r="C217" s="13"/>
      <c r="D217" s="19">
        <f t="shared" si="38"/>
        <v>55</v>
      </c>
      <c r="E217" s="178" t="str">
        <f>IF(OR('Services - NHC'!E64="",'Services - NHC'!E64="[Enter service]"),"",'Services - NHC'!E64)</f>
        <v/>
      </c>
      <c r="F217" s="179" t="str">
        <f>IF(OR('Services - NHC'!F64="",'Services - NHC'!F64="[Select]"),"",'Services - NHC'!F64)</f>
        <v/>
      </c>
      <c r="G217" s="191">
        <f>IF('Revenue - Base year'!V66="","",'Revenue - Base year'!V66)</f>
        <v>0</v>
      </c>
      <c r="H217" s="191">
        <f t="shared" si="27"/>
        <v>0</v>
      </c>
      <c r="I217" s="191">
        <f>IF('Expenditure - Base year'!R65="","",'Expenditure - Base year'!R65)</f>
        <v>0</v>
      </c>
      <c r="J217" s="190">
        <f t="shared" si="28"/>
        <v>0</v>
      </c>
      <c r="K217" s="207">
        <f t="shared" si="29"/>
        <v>0</v>
      </c>
      <c r="L217" s="211">
        <f t="shared" si="30"/>
        <v>0</v>
      </c>
      <c r="M217" s="205"/>
      <c r="N217" s="206"/>
    </row>
    <row r="218" spans="3:14" hidden="1" outlineLevel="1" x14ac:dyDescent="0.2">
      <c r="C218" s="13"/>
      <c r="D218" s="19">
        <f t="shared" si="38"/>
        <v>56</v>
      </c>
      <c r="E218" s="178" t="str">
        <f>IF(OR('Services - NHC'!E65="",'Services - NHC'!E65="[Enter service]"),"",'Services - NHC'!E65)</f>
        <v/>
      </c>
      <c r="F218" s="179" t="str">
        <f>IF(OR('Services - NHC'!F65="",'Services - NHC'!F65="[Select]"),"",'Services - NHC'!F65)</f>
        <v/>
      </c>
      <c r="G218" s="191">
        <f>IF('Revenue - Base year'!V67="","",'Revenue - Base year'!V67)</f>
        <v>0</v>
      </c>
      <c r="H218" s="191">
        <f t="shared" si="27"/>
        <v>0</v>
      </c>
      <c r="I218" s="191">
        <f>IF('Expenditure - Base year'!R66="","",'Expenditure - Base year'!R66)</f>
        <v>0</v>
      </c>
      <c r="J218" s="190">
        <f t="shared" si="28"/>
        <v>0</v>
      </c>
      <c r="K218" s="207">
        <f t="shared" si="29"/>
        <v>0</v>
      </c>
      <c r="L218" s="211">
        <f t="shared" si="30"/>
        <v>0</v>
      </c>
      <c r="M218" s="205"/>
      <c r="N218" s="206"/>
    </row>
    <row r="219" spans="3:14" hidden="1" outlineLevel="1" x14ac:dyDescent="0.2">
      <c r="C219" s="13"/>
      <c r="D219" s="85">
        <f t="shared" si="38"/>
        <v>57</v>
      </c>
      <c r="E219" s="178" t="str">
        <f>IF(OR('Services - NHC'!E66="",'Services - NHC'!E66="[Enter service]"),"",'Services - NHC'!E66)</f>
        <v/>
      </c>
      <c r="F219" s="179" t="str">
        <f>IF(OR('Services - NHC'!F66="",'Services - NHC'!F66="[Select]"),"",'Services - NHC'!F66)</f>
        <v/>
      </c>
      <c r="G219" s="191">
        <f>IF('Revenue - Base year'!V68="","",'Revenue - Base year'!V68)</f>
        <v>0</v>
      </c>
      <c r="H219" s="191">
        <f t="shared" si="27"/>
        <v>0</v>
      </c>
      <c r="I219" s="191">
        <f>IF('Expenditure - Base year'!R67="","",'Expenditure - Base year'!R67)</f>
        <v>0</v>
      </c>
      <c r="J219" s="190">
        <f t="shared" si="28"/>
        <v>0</v>
      </c>
      <c r="K219" s="207">
        <f t="shared" si="29"/>
        <v>0</v>
      </c>
      <c r="L219" s="211">
        <f t="shared" si="30"/>
        <v>0</v>
      </c>
      <c r="M219" s="205"/>
      <c r="N219" s="206"/>
    </row>
    <row r="220" spans="3:14" hidden="1" outlineLevel="1" x14ac:dyDescent="0.2">
      <c r="C220" s="13"/>
      <c r="D220" s="19">
        <f t="shared" si="38"/>
        <v>58</v>
      </c>
      <c r="E220" s="178" t="str">
        <f>IF(OR('Services - NHC'!E67="",'Services - NHC'!E67="[Enter service]"),"",'Services - NHC'!E67)</f>
        <v/>
      </c>
      <c r="F220" s="179" t="str">
        <f>IF(OR('Services - NHC'!F67="",'Services - NHC'!F67="[Select]"),"",'Services - NHC'!F67)</f>
        <v/>
      </c>
      <c r="G220" s="191">
        <f>IF('Revenue - Base year'!V69="","",'Revenue - Base year'!V69)</f>
        <v>0</v>
      </c>
      <c r="H220" s="191">
        <f t="shared" si="27"/>
        <v>0</v>
      </c>
      <c r="I220" s="191">
        <f>IF('Expenditure - Base year'!R68="","",'Expenditure - Base year'!R68)</f>
        <v>0</v>
      </c>
      <c r="J220" s="190">
        <f t="shared" si="28"/>
        <v>0</v>
      </c>
      <c r="K220" s="207">
        <f t="shared" si="29"/>
        <v>0</v>
      </c>
      <c r="L220" s="211">
        <f t="shared" si="30"/>
        <v>0</v>
      </c>
      <c r="M220" s="205"/>
      <c r="N220" s="206"/>
    </row>
    <row r="221" spans="3:14" hidden="1" outlineLevel="1" x14ac:dyDescent="0.2">
      <c r="C221" s="13"/>
      <c r="D221" s="19">
        <f t="shared" si="38"/>
        <v>59</v>
      </c>
      <c r="E221" s="178" t="str">
        <f>IF(OR('Services - NHC'!E68="",'Services - NHC'!E68="[Enter service]"),"",'Services - NHC'!E68)</f>
        <v/>
      </c>
      <c r="F221" s="179" t="str">
        <f>IF(OR('Services - NHC'!F68="",'Services - NHC'!F68="[Select]"),"",'Services - NHC'!F68)</f>
        <v/>
      </c>
      <c r="G221" s="191">
        <f>IF('Revenue - Base year'!V70="","",'Revenue - Base year'!V70)</f>
        <v>0</v>
      </c>
      <c r="H221" s="191">
        <f t="shared" si="27"/>
        <v>0</v>
      </c>
      <c r="I221" s="191">
        <f>IF('Expenditure - Base year'!R69="","",'Expenditure - Base year'!R69)</f>
        <v>0</v>
      </c>
      <c r="J221" s="190">
        <f t="shared" si="28"/>
        <v>0</v>
      </c>
      <c r="K221" s="207">
        <f t="shared" si="29"/>
        <v>0</v>
      </c>
      <c r="L221" s="211">
        <f t="shared" si="30"/>
        <v>0</v>
      </c>
      <c r="M221" s="205"/>
      <c r="N221" s="206"/>
    </row>
    <row r="222" spans="3:14" hidden="1" outlineLevel="1" x14ac:dyDescent="0.2">
      <c r="C222" s="13"/>
      <c r="D222" s="19">
        <f t="shared" si="38"/>
        <v>60</v>
      </c>
      <c r="E222" s="178" t="str">
        <f>IF(OR('Services - NHC'!E69="",'Services - NHC'!E69="[Enter service]"),"",'Services - NHC'!E69)</f>
        <v/>
      </c>
      <c r="F222" s="179" t="str">
        <f>IF(OR('Services - NHC'!F69="",'Services - NHC'!F69="[Select]"),"",'Services - NHC'!F69)</f>
        <v/>
      </c>
      <c r="G222" s="191">
        <f>IF('Revenue - Base year'!V71="","",'Revenue - Base year'!V71)</f>
        <v>0</v>
      </c>
      <c r="H222" s="191">
        <f t="shared" si="27"/>
        <v>0</v>
      </c>
      <c r="I222" s="191">
        <f>IF('Expenditure - Base year'!R70="","",'Expenditure - Base year'!R70)</f>
        <v>0</v>
      </c>
      <c r="J222" s="190">
        <f t="shared" si="28"/>
        <v>0</v>
      </c>
      <c r="K222" s="207">
        <f t="shared" si="29"/>
        <v>0</v>
      </c>
      <c r="L222" s="211">
        <f t="shared" si="30"/>
        <v>0</v>
      </c>
      <c r="M222" s="205"/>
      <c r="N222" s="206"/>
    </row>
    <row r="223" spans="3:14" hidden="1" outlineLevel="1" x14ac:dyDescent="0.2">
      <c r="C223" s="13"/>
      <c r="D223" s="85">
        <f t="shared" si="38"/>
        <v>61</v>
      </c>
      <c r="E223" s="178" t="str">
        <f>IF(OR('Services - NHC'!E70="",'Services - NHC'!E70="[Enter service]"),"",'Services - NHC'!E70)</f>
        <v/>
      </c>
      <c r="F223" s="179" t="str">
        <f>IF(OR('Services - NHC'!F70="",'Services - NHC'!F70="[Select]"),"",'Services - NHC'!F70)</f>
        <v/>
      </c>
      <c r="G223" s="191">
        <f>IF('Revenue - Base year'!V72="","",'Revenue - Base year'!V72)</f>
        <v>0</v>
      </c>
      <c r="H223" s="191">
        <f t="shared" si="27"/>
        <v>0</v>
      </c>
      <c r="I223" s="191">
        <f>IF('Expenditure - Base year'!R71="","",'Expenditure - Base year'!R71)</f>
        <v>0</v>
      </c>
      <c r="J223" s="190">
        <f t="shared" si="28"/>
        <v>0</v>
      </c>
      <c r="K223" s="207">
        <f t="shared" si="29"/>
        <v>0</v>
      </c>
      <c r="L223" s="211">
        <f t="shared" si="30"/>
        <v>0</v>
      </c>
      <c r="M223" s="205"/>
      <c r="N223" s="206"/>
    </row>
    <row r="224" spans="3:14" hidden="1" outlineLevel="1" x14ac:dyDescent="0.2">
      <c r="C224" s="13"/>
      <c r="D224" s="19">
        <f t="shared" si="38"/>
        <v>62</v>
      </c>
      <c r="E224" s="178" t="str">
        <f>IF(OR('Services - NHC'!E71="",'Services - NHC'!E71="[Enter service]"),"",'Services - NHC'!E71)</f>
        <v/>
      </c>
      <c r="F224" s="179" t="str">
        <f>IF(OR('Services - NHC'!F71="",'Services - NHC'!F71="[Select]"),"",'Services - NHC'!F71)</f>
        <v/>
      </c>
      <c r="G224" s="191">
        <f>IF('Revenue - Base year'!V73="","",'Revenue - Base year'!V73)</f>
        <v>0</v>
      </c>
      <c r="H224" s="191">
        <f t="shared" si="27"/>
        <v>0</v>
      </c>
      <c r="I224" s="191">
        <f>IF('Expenditure - Base year'!R72="","",'Expenditure - Base year'!R72)</f>
        <v>0</v>
      </c>
      <c r="J224" s="190">
        <f t="shared" si="28"/>
        <v>0</v>
      </c>
      <c r="K224" s="207">
        <f t="shared" si="29"/>
        <v>0</v>
      </c>
      <c r="L224" s="211">
        <f t="shared" si="30"/>
        <v>0</v>
      </c>
      <c r="M224" s="205"/>
      <c r="N224" s="206"/>
    </row>
    <row r="225" spans="3:14" hidden="1" outlineLevel="1" x14ac:dyDescent="0.2">
      <c r="C225" s="13"/>
      <c r="D225" s="19">
        <f t="shared" si="38"/>
        <v>63</v>
      </c>
      <c r="E225" s="178" t="str">
        <f>IF(OR('Services - NHC'!E72="",'Services - NHC'!E72="[Enter service]"),"",'Services - NHC'!E72)</f>
        <v/>
      </c>
      <c r="F225" s="179" t="str">
        <f>IF(OR('Services - NHC'!F72="",'Services - NHC'!F72="[Select]"),"",'Services - NHC'!F72)</f>
        <v/>
      </c>
      <c r="G225" s="191">
        <f>IF('Revenue - Base year'!V74="","",'Revenue - Base year'!V74)</f>
        <v>0</v>
      </c>
      <c r="H225" s="191">
        <f t="shared" si="27"/>
        <v>0</v>
      </c>
      <c r="I225" s="191">
        <f>IF('Expenditure - Base year'!R73="","",'Expenditure - Base year'!R73)</f>
        <v>0</v>
      </c>
      <c r="J225" s="190">
        <f t="shared" si="28"/>
        <v>0</v>
      </c>
      <c r="K225" s="207">
        <f t="shared" si="29"/>
        <v>0</v>
      </c>
      <c r="L225" s="211">
        <f t="shared" si="30"/>
        <v>0</v>
      </c>
      <c r="M225" s="205"/>
      <c r="N225" s="206"/>
    </row>
    <row r="226" spans="3:14" hidden="1" outlineLevel="1" x14ac:dyDescent="0.2">
      <c r="C226" s="13"/>
      <c r="D226" s="19">
        <f t="shared" si="38"/>
        <v>64</v>
      </c>
      <c r="E226" s="178" t="str">
        <f>IF(OR('Services - NHC'!E73="",'Services - NHC'!E73="[Enter service]"),"",'Services - NHC'!E73)</f>
        <v/>
      </c>
      <c r="F226" s="179" t="str">
        <f>IF(OR('Services - NHC'!F73="",'Services - NHC'!F73="[Select]"),"",'Services - NHC'!F73)</f>
        <v/>
      </c>
      <c r="G226" s="191">
        <f>IF('Revenue - Base year'!V75="","",'Revenue - Base year'!V75)</f>
        <v>0</v>
      </c>
      <c r="H226" s="191">
        <f t="shared" si="27"/>
        <v>0</v>
      </c>
      <c r="I226" s="191">
        <f>IF('Expenditure - Base year'!R74="","",'Expenditure - Base year'!R74)</f>
        <v>0</v>
      </c>
      <c r="J226" s="190">
        <f t="shared" si="28"/>
        <v>0</v>
      </c>
      <c r="K226" s="207">
        <f t="shared" si="29"/>
        <v>0</v>
      </c>
      <c r="L226" s="211">
        <f t="shared" si="30"/>
        <v>0</v>
      </c>
      <c r="M226" s="205"/>
      <c r="N226" s="206"/>
    </row>
    <row r="227" spans="3:14" hidden="1" outlineLevel="1" x14ac:dyDescent="0.2">
      <c r="C227" s="13"/>
      <c r="D227" s="85">
        <f t="shared" si="38"/>
        <v>65</v>
      </c>
      <c r="E227" s="178" t="str">
        <f>IF(OR('Services - NHC'!E74="",'Services - NHC'!E74="[Enter service]"),"",'Services - NHC'!E74)</f>
        <v/>
      </c>
      <c r="F227" s="179" t="str">
        <f>IF(OR('Services - NHC'!F74="",'Services - NHC'!F74="[Select]"),"",'Services - NHC'!F74)</f>
        <v/>
      </c>
      <c r="G227" s="191">
        <f>IF('Revenue - Base year'!V76="","",'Revenue - Base year'!V76)</f>
        <v>0</v>
      </c>
      <c r="H227" s="191">
        <f t="shared" si="27"/>
        <v>0</v>
      </c>
      <c r="I227" s="191">
        <f>IF('Expenditure - Base year'!R75="","",'Expenditure - Base year'!R75)</f>
        <v>0</v>
      </c>
      <c r="J227" s="190">
        <f t="shared" si="28"/>
        <v>0</v>
      </c>
      <c r="K227" s="207">
        <f t="shared" si="29"/>
        <v>0</v>
      </c>
      <c r="L227" s="211">
        <f t="shared" si="30"/>
        <v>0</v>
      </c>
      <c r="M227" s="205"/>
      <c r="N227" s="206"/>
    </row>
    <row r="228" spans="3:14" hidden="1" outlineLevel="1" x14ac:dyDescent="0.2">
      <c r="C228" s="13"/>
      <c r="D228" s="19">
        <f t="shared" si="38"/>
        <v>66</v>
      </c>
      <c r="E228" s="178" t="str">
        <f>IF(OR('Services - NHC'!E75="",'Services - NHC'!E75="[Enter service]"),"",'Services - NHC'!E75)</f>
        <v/>
      </c>
      <c r="F228" s="179" t="str">
        <f>IF(OR('Services - NHC'!F75="",'Services - NHC'!F75="[Select]"),"",'Services - NHC'!F75)</f>
        <v/>
      </c>
      <c r="G228" s="191">
        <f>IF('Revenue - Base year'!V77="","",'Revenue - Base year'!V77)</f>
        <v>0</v>
      </c>
      <c r="H228" s="191">
        <f t="shared" ref="H228:H291" si="48">H76</f>
        <v>0</v>
      </c>
      <c r="I228" s="191">
        <f>IF('Expenditure - Base year'!R76="","",'Expenditure - Base year'!R76)</f>
        <v>0</v>
      </c>
      <c r="J228" s="190">
        <f t="shared" ref="J228:J291" si="49">J76</f>
        <v>0</v>
      </c>
      <c r="K228" s="207">
        <f t="shared" ref="K228:K291" si="50">IFERROR(H228-G228,"")</f>
        <v>0</v>
      </c>
      <c r="L228" s="211">
        <f t="shared" ref="L228:L291" si="51">IFERROR(J228-I228,"")</f>
        <v>0</v>
      </c>
      <c r="M228" s="205"/>
      <c r="N228" s="206"/>
    </row>
    <row r="229" spans="3:14" hidden="1" outlineLevel="1" x14ac:dyDescent="0.2">
      <c r="C229" s="13"/>
      <c r="D229" s="19">
        <f t="shared" si="38"/>
        <v>67</v>
      </c>
      <c r="E229" s="178" t="str">
        <f>IF(OR('Services - NHC'!E76="",'Services - NHC'!E76="[Enter service]"),"",'Services - NHC'!E76)</f>
        <v/>
      </c>
      <c r="F229" s="179" t="str">
        <f>IF(OR('Services - NHC'!F76="",'Services - NHC'!F76="[Select]"),"",'Services - NHC'!F76)</f>
        <v/>
      </c>
      <c r="G229" s="191">
        <f>IF('Revenue - Base year'!V78="","",'Revenue - Base year'!V78)</f>
        <v>0</v>
      </c>
      <c r="H229" s="191">
        <f t="shared" si="48"/>
        <v>0</v>
      </c>
      <c r="I229" s="191">
        <f>IF('Expenditure - Base year'!R77="","",'Expenditure - Base year'!R77)</f>
        <v>0</v>
      </c>
      <c r="J229" s="190">
        <f t="shared" si="49"/>
        <v>0</v>
      </c>
      <c r="K229" s="207">
        <f t="shared" si="50"/>
        <v>0</v>
      </c>
      <c r="L229" s="211">
        <f t="shared" si="51"/>
        <v>0</v>
      </c>
      <c r="M229" s="205"/>
      <c r="N229" s="206"/>
    </row>
    <row r="230" spans="3:14" hidden="1" outlineLevel="1" x14ac:dyDescent="0.2">
      <c r="C230" s="13"/>
      <c r="D230" s="85">
        <f t="shared" si="38"/>
        <v>68</v>
      </c>
      <c r="E230" s="178" t="str">
        <f>IF(OR('Services - NHC'!E77="",'Services - NHC'!E77="[Enter service]"),"",'Services - NHC'!E77)</f>
        <v/>
      </c>
      <c r="F230" s="179" t="str">
        <f>IF(OR('Services - NHC'!F77="",'Services - NHC'!F77="[Select]"),"",'Services - NHC'!F77)</f>
        <v/>
      </c>
      <c r="G230" s="191">
        <f>IF('Revenue - Base year'!V79="","",'Revenue - Base year'!V79)</f>
        <v>0</v>
      </c>
      <c r="H230" s="191">
        <f t="shared" si="48"/>
        <v>0</v>
      </c>
      <c r="I230" s="191">
        <f>IF('Expenditure - Base year'!R78="","",'Expenditure - Base year'!R78)</f>
        <v>0</v>
      </c>
      <c r="J230" s="190">
        <f t="shared" si="49"/>
        <v>0</v>
      </c>
      <c r="K230" s="207">
        <f t="shared" si="50"/>
        <v>0</v>
      </c>
      <c r="L230" s="211">
        <f t="shared" si="51"/>
        <v>0</v>
      </c>
      <c r="M230" s="205"/>
      <c r="N230" s="206"/>
    </row>
    <row r="231" spans="3:14" hidden="1" outlineLevel="1" x14ac:dyDescent="0.2">
      <c r="C231" s="13"/>
      <c r="D231" s="19">
        <f t="shared" si="38"/>
        <v>69</v>
      </c>
      <c r="E231" s="178" t="str">
        <f>IF(OR('Services - NHC'!E78="",'Services - NHC'!E78="[Enter service]"),"",'Services - NHC'!E78)</f>
        <v/>
      </c>
      <c r="F231" s="179" t="str">
        <f>IF(OR('Services - NHC'!F78="",'Services - NHC'!F78="[Select]"),"",'Services - NHC'!F78)</f>
        <v/>
      </c>
      <c r="G231" s="191">
        <f>IF('Revenue - Base year'!V80="","",'Revenue - Base year'!V80)</f>
        <v>0</v>
      </c>
      <c r="H231" s="191">
        <f t="shared" si="48"/>
        <v>0</v>
      </c>
      <c r="I231" s="191">
        <f>IF('Expenditure - Base year'!R79="","",'Expenditure - Base year'!R79)</f>
        <v>0</v>
      </c>
      <c r="J231" s="190">
        <f t="shared" si="49"/>
        <v>0</v>
      </c>
      <c r="K231" s="207">
        <f t="shared" si="50"/>
        <v>0</v>
      </c>
      <c r="L231" s="211">
        <f t="shared" si="51"/>
        <v>0</v>
      </c>
      <c r="M231" s="205"/>
      <c r="N231" s="206"/>
    </row>
    <row r="232" spans="3:14" hidden="1" outlineLevel="1" x14ac:dyDescent="0.2">
      <c r="C232" s="13"/>
      <c r="D232" s="19">
        <f t="shared" ref="D232:D295" si="52">D231+1</f>
        <v>70</v>
      </c>
      <c r="E232" s="178" t="str">
        <f>IF(OR('Services - NHC'!E79="",'Services - NHC'!E79="[Enter service]"),"",'Services - NHC'!E79)</f>
        <v/>
      </c>
      <c r="F232" s="179" t="str">
        <f>IF(OR('Services - NHC'!F79="",'Services - NHC'!F79="[Select]"),"",'Services - NHC'!F79)</f>
        <v/>
      </c>
      <c r="G232" s="191">
        <f>IF('Revenue - Base year'!V81="","",'Revenue - Base year'!V81)</f>
        <v>0</v>
      </c>
      <c r="H232" s="191">
        <f t="shared" si="48"/>
        <v>0</v>
      </c>
      <c r="I232" s="191">
        <f>IF('Expenditure - Base year'!R80="","",'Expenditure - Base year'!R80)</f>
        <v>0</v>
      </c>
      <c r="J232" s="190">
        <f t="shared" si="49"/>
        <v>0</v>
      </c>
      <c r="K232" s="207">
        <f t="shared" si="50"/>
        <v>0</v>
      </c>
      <c r="L232" s="211">
        <f t="shared" si="51"/>
        <v>0</v>
      </c>
      <c r="M232" s="205"/>
      <c r="N232" s="206"/>
    </row>
    <row r="233" spans="3:14" hidden="1" outlineLevel="1" x14ac:dyDescent="0.2">
      <c r="C233" s="13"/>
      <c r="D233" s="19">
        <f t="shared" si="52"/>
        <v>71</v>
      </c>
      <c r="E233" s="178" t="str">
        <f>IF(OR('Services - NHC'!E80="",'Services - NHC'!E80="[Enter service]"),"",'Services - NHC'!E80)</f>
        <v/>
      </c>
      <c r="F233" s="179" t="str">
        <f>IF(OR('Services - NHC'!F80="",'Services - NHC'!F80="[Select]"),"",'Services - NHC'!F80)</f>
        <v/>
      </c>
      <c r="G233" s="191">
        <f>IF('Revenue - Base year'!V82="","",'Revenue - Base year'!V82)</f>
        <v>0</v>
      </c>
      <c r="H233" s="191">
        <f t="shared" si="48"/>
        <v>0</v>
      </c>
      <c r="I233" s="191">
        <f>IF('Expenditure - Base year'!R81="","",'Expenditure - Base year'!R81)</f>
        <v>0</v>
      </c>
      <c r="J233" s="190">
        <f t="shared" si="49"/>
        <v>0</v>
      </c>
      <c r="K233" s="207">
        <f t="shared" si="50"/>
        <v>0</v>
      </c>
      <c r="L233" s="211">
        <f t="shared" si="51"/>
        <v>0</v>
      </c>
      <c r="M233" s="205"/>
      <c r="N233" s="206"/>
    </row>
    <row r="234" spans="3:14" hidden="1" outlineLevel="1" x14ac:dyDescent="0.2">
      <c r="C234" s="13"/>
      <c r="D234" s="85">
        <f t="shared" si="52"/>
        <v>72</v>
      </c>
      <c r="E234" s="178" t="str">
        <f>IF(OR('Services - NHC'!E81="",'Services - NHC'!E81="[Enter service]"),"",'Services - NHC'!E81)</f>
        <v/>
      </c>
      <c r="F234" s="179" t="str">
        <f>IF(OR('Services - NHC'!F81="",'Services - NHC'!F81="[Select]"),"",'Services - NHC'!F81)</f>
        <v/>
      </c>
      <c r="G234" s="191">
        <f>IF('Revenue - Base year'!V83="","",'Revenue - Base year'!V83)</f>
        <v>0</v>
      </c>
      <c r="H234" s="191">
        <f t="shared" si="48"/>
        <v>0</v>
      </c>
      <c r="I234" s="191">
        <f>IF('Expenditure - Base year'!R82="","",'Expenditure - Base year'!R82)</f>
        <v>0</v>
      </c>
      <c r="J234" s="190">
        <f t="shared" si="49"/>
        <v>0</v>
      </c>
      <c r="K234" s="207">
        <f t="shared" si="50"/>
        <v>0</v>
      </c>
      <c r="L234" s="211">
        <f t="shared" si="51"/>
        <v>0</v>
      </c>
      <c r="M234" s="205"/>
      <c r="N234" s="206"/>
    </row>
    <row r="235" spans="3:14" hidden="1" outlineLevel="1" x14ac:dyDescent="0.2">
      <c r="C235" s="13"/>
      <c r="D235" s="19">
        <f t="shared" si="52"/>
        <v>73</v>
      </c>
      <c r="E235" s="178" t="str">
        <f>IF(OR('Services - NHC'!E82="",'Services - NHC'!E82="[Enter service]"),"",'Services - NHC'!E82)</f>
        <v/>
      </c>
      <c r="F235" s="179" t="str">
        <f>IF(OR('Services - NHC'!F82="",'Services - NHC'!F82="[Select]"),"",'Services - NHC'!F82)</f>
        <v/>
      </c>
      <c r="G235" s="191">
        <f>IF('Revenue - Base year'!V84="","",'Revenue - Base year'!V84)</f>
        <v>0</v>
      </c>
      <c r="H235" s="191">
        <f t="shared" si="48"/>
        <v>0</v>
      </c>
      <c r="I235" s="191">
        <f>IF('Expenditure - Base year'!R83="","",'Expenditure - Base year'!R83)</f>
        <v>0</v>
      </c>
      <c r="J235" s="190">
        <f t="shared" si="49"/>
        <v>0</v>
      </c>
      <c r="K235" s="207">
        <f t="shared" si="50"/>
        <v>0</v>
      </c>
      <c r="L235" s="211">
        <f t="shared" si="51"/>
        <v>0</v>
      </c>
      <c r="M235" s="205"/>
      <c r="N235" s="206"/>
    </row>
    <row r="236" spans="3:14" hidden="1" outlineLevel="1" x14ac:dyDescent="0.2">
      <c r="C236" s="13"/>
      <c r="D236" s="19">
        <f t="shared" si="52"/>
        <v>74</v>
      </c>
      <c r="E236" s="178" t="str">
        <f>IF(OR('Services - NHC'!E83="",'Services - NHC'!E83="[Enter service]"),"",'Services - NHC'!E83)</f>
        <v/>
      </c>
      <c r="F236" s="179" t="str">
        <f>IF(OR('Services - NHC'!F83="",'Services - NHC'!F83="[Select]"),"",'Services - NHC'!F83)</f>
        <v/>
      </c>
      <c r="G236" s="191">
        <f>IF('Revenue - Base year'!V85="","",'Revenue - Base year'!V85)</f>
        <v>0</v>
      </c>
      <c r="H236" s="191">
        <f t="shared" si="48"/>
        <v>0</v>
      </c>
      <c r="I236" s="191">
        <f>IF('Expenditure - Base year'!R84="","",'Expenditure - Base year'!R84)</f>
        <v>0</v>
      </c>
      <c r="J236" s="190">
        <f t="shared" si="49"/>
        <v>0</v>
      </c>
      <c r="K236" s="207">
        <f t="shared" si="50"/>
        <v>0</v>
      </c>
      <c r="L236" s="211">
        <f t="shared" si="51"/>
        <v>0</v>
      </c>
      <c r="M236" s="205"/>
      <c r="N236" s="206"/>
    </row>
    <row r="237" spans="3:14" hidden="1" outlineLevel="1" x14ac:dyDescent="0.2">
      <c r="C237" s="13"/>
      <c r="D237" s="19">
        <f t="shared" si="52"/>
        <v>75</v>
      </c>
      <c r="E237" s="178" t="str">
        <f>IF(OR('Services - NHC'!E84="",'Services - NHC'!E84="[Enter service]"),"",'Services - NHC'!E84)</f>
        <v/>
      </c>
      <c r="F237" s="179" t="str">
        <f>IF(OR('Services - NHC'!F84="",'Services - NHC'!F84="[Select]"),"",'Services - NHC'!F84)</f>
        <v/>
      </c>
      <c r="G237" s="191">
        <f>IF('Revenue - Base year'!V86="","",'Revenue - Base year'!V86)</f>
        <v>0</v>
      </c>
      <c r="H237" s="191">
        <f t="shared" si="48"/>
        <v>0</v>
      </c>
      <c r="I237" s="191">
        <f>IF('Expenditure - Base year'!R85="","",'Expenditure - Base year'!R85)</f>
        <v>0</v>
      </c>
      <c r="J237" s="190">
        <f t="shared" si="49"/>
        <v>0</v>
      </c>
      <c r="K237" s="207">
        <f t="shared" si="50"/>
        <v>0</v>
      </c>
      <c r="L237" s="211">
        <f t="shared" si="51"/>
        <v>0</v>
      </c>
      <c r="M237" s="205"/>
      <c r="N237" s="206"/>
    </row>
    <row r="238" spans="3:14" hidden="1" outlineLevel="1" x14ac:dyDescent="0.2">
      <c r="C238" s="13"/>
      <c r="D238" s="85">
        <f t="shared" si="52"/>
        <v>76</v>
      </c>
      <c r="E238" s="178" t="str">
        <f>IF(OR('Services - NHC'!E85="",'Services - NHC'!E85="[Enter service]"),"",'Services - NHC'!E85)</f>
        <v/>
      </c>
      <c r="F238" s="179" t="str">
        <f>IF(OR('Services - NHC'!F85="",'Services - NHC'!F85="[Select]"),"",'Services - NHC'!F85)</f>
        <v/>
      </c>
      <c r="G238" s="191">
        <f>IF('Revenue - Base year'!V87="","",'Revenue - Base year'!V87)</f>
        <v>0</v>
      </c>
      <c r="H238" s="191">
        <f t="shared" si="48"/>
        <v>0</v>
      </c>
      <c r="I238" s="191">
        <f>IF('Expenditure - Base year'!R86="","",'Expenditure - Base year'!R86)</f>
        <v>0</v>
      </c>
      <c r="J238" s="190">
        <f t="shared" si="49"/>
        <v>0</v>
      </c>
      <c r="K238" s="207">
        <f t="shared" si="50"/>
        <v>0</v>
      </c>
      <c r="L238" s="211">
        <f t="shared" si="51"/>
        <v>0</v>
      </c>
      <c r="M238" s="205"/>
      <c r="N238" s="206"/>
    </row>
    <row r="239" spans="3:14" hidden="1" outlineLevel="1" x14ac:dyDescent="0.2">
      <c r="C239" s="13"/>
      <c r="D239" s="19">
        <f t="shared" si="52"/>
        <v>77</v>
      </c>
      <c r="E239" s="178" t="str">
        <f>IF(OR('Services - NHC'!E86="",'Services - NHC'!E86="[Enter service]"),"",'Services - NHC'!E86)</f>
        <v/>
      </c>
      <c r="F239" s="179" t="str">
        <f>IF(OR('Services - NHC'!F86="",'Services - NHC'!F86="[Select]"),"",'Services - NHC'!F86)</f>
        <v/>
      </c>
      <c r="G239" s="191">
        <f>IF('Revenue - Base year'!V88="","",'Revenue - Base year'!V88)</f>
        <v>0</v>
      </c>
      <c r="H239" s="191">
        <f t="shared" si="48"/>
        <v>0</v>
      </c>
      <c r="I239" s="191">
        <f>IF('Expenditure - Base year'!R87="","",'Expenditure - Base year'!R87)</f>
        <v>0</v>
      </c>
      <c r="J239" s="190">
        <f t="shared" si="49"/>
        <v>0</v>
      </c>
      <c r="K239" s="207">
        <f t="shared" si="50"/>
        <v>0</v>
      </c>
      <c r="L239" s="211">
        <f t="shared" si="51"/>
        <v>0</v>
      </c>
      <c r="M239" s="205"/>
      <c r="N239" s="206"/>
    </row>
    <row r="240" spans="3:14" hidden="1" outlineLevel="1" x14ac:dyDescent="0.2">
      <c r="C240" s="13"/>
      <c r="D240" s="19">
        <f t="shared" si="52"/>
        <v>78</v>
      </c>
      <c r="E240" s="178" t="str">
        <f>IF(OR('Services - NHC'!E87="",'Services - NHC'!E87="[Enter service]"),"",'Services - NHC'!E87)</f>
        <v/>
      </c>
      <c r="F240" s="179" t="str">
        <f>IF(OR('Services - NHC'!F87="",'Services - NHC'!F87="[Select]"),"",'Services - NHC'!F87)</f>
        <v/>
      </c>
      <c r="G240" s="191">
        <f>IF('Revenue - Base year'!V89="","",'Revenue - Base year'!V89)</f>
        <v>0</v>
      </c>
      <c r="H240" s="191">
        <f t="shared" si="48"/>
        <v>0</v>
      </c>
      <c r="I240" s="191">
        <f>IF('Expenditure - Base year'!R88="","",'Expenditure - Base year'!R88)</f>
        <v>0</v>
      </c>
      <c r="J240" s="190">
        <f t="shared" si="49"/>
        <v>0</v>
      </c>
      <c r="K240" s="207">
        <f t="shared" si="50"/>
        <v>0</v>
      </c>
      <c r="L240" s="211">
        <f t="shared" si="51"/>
        <v>0</v>
      </c>
      <c r="M240" s="205"/>
      <c r="N240" s="206"/>
    </row>
    <row r="241" spans="3:14" hidden="1" outlineLevel="1" x14ac:dyDescent="0.2">
      <c r="C241" s="13"/>
      <c r="D241" s="85">
        <f t="shared" si="52"/>
        <v>79</v>
      </c>
      <c r="E241" s="178" t="str">
        <f>IF(OR('Services - NHC'!E88="",'Services - NHC'!E88="[Enter service]"),"",'Services - NHC'!E88)</f>
        <v/>
      </c>
      <c r="F241" s="179" t="str">
        <f>IF(OR('Services - NHC'!F88="",'Services - NHC'!F88="[Select]"),"",'Services - NHC'!F88)</f>
        <v/>
      </c>
      <c r="G241" s="191">
        <f>IF('Revenue - Base year'!V90="","",'Revenue - Base year'!V90)</f>
        <v>0</v>
      </c>
      <c r="H241" s="191">
        <f t="shared" si="48"/>
        <v>0</v>
      </c>
      <c r="I241" s="191">
        <f>IF('Expenditure - Base year'!R89="","",'Expenditure - Base year'!R89)</f>
        <v>0</v>
      </c>
      <c r="J241" s="190">
        <f t="shared" si="49"/>
        <v>0</v>
      </c>
      <c r="K241" s="207">
        <f t="shared" si="50"/>
        <v>0</v>
      </c>
      <c r="L241" s="211">
        <f t="shared" si="51"/>
        <v>0</v>
      </c>
      <c r="M241" s="205"/>
      <c r="N241" s="206"/>
    </row>
    <row r="242" spans="3:14" hidden="1" outlineLevel="1" x14ac:dyDescent="0.2">
      <c r="C242" s="13"/>
      <c r="D242" s="19">
        <f t="shared" si="52"/>
        <v>80</v>
      </c>
      <c r="E242" s="178" t="str">
        <f>IF(OR('Services - NHC'!E89="",'Services - NHC'!E89="[Enter service]"),"",'Services - NHC'!E89)</f>
        <v/>
      </c>
      <c r="F242" s="179" t="str">
        <f>IF(OR('Services - NHC'!F89="",'Services - NHC'!F89="[Select]"),"",'Services - NHC'!F89)</f>
        <v/>
      </c>
      <c r="G242" s="191">
        <f>IF('Revenue - Base year'!V91="","",'Revenue - Base year'!V91)</f>
        <v>0</v>
      </c>
      <c r="H242" s="191">
        <f t="shared" si="48"/>
        <v>0</v>
      </c>
      <c r="I242" s="191">
        <f>IF('Expenditure - Base year'!R90="","",'Expenditure - Base year'!R90)</f>
        <v>0</v>
      </c>
      <c r="J242" s="190">
        <f t="shared" si="49"/>
        <v>0</v>
      </c>
      <c r="K242" s="207">
        <f t="shared" si="50"/>
        <v>0</v>
      </c>
      <c r="L242" s="211">
        <f t="shared" si="51"/>
        <v>0</v>
      </c>
      <c r="M242" s="205"/>
      <c r="N242" s="206"/>
    </row>
    <row r="243" spans="3:14" hidden="1" outlineLevel="1" x14ac:dyDescent="0.2">
      <c r="C243" s="13"/>
      <c r="D243" s="19">
        <f t="shared" si="52"/>
        <v>81</v>
      </c>
      <c r="E243" s="178" t="str">
        <f>IF(OR('Services - NHC'!E90="",'Services - NHC'!E90="[Enter service]"),"",'Services - NHC'!E90)</f>
        <v/>
      </c>
      <c r="F243" s="179" t="str">
        <f>IF(OR('Services - NHC'!F90="",'Services - NHC'!F90="[Select]"),"",'Services - NHC'!F90)</f>
        <v/>
      </c>
      <c r="G243" s="191">
        <f>IF('Revenue - Base year'!V92="","",'Revenue - Base year'!V92)</f>
        <v>0</v>
      </c>
      <c r="H243" s="191">
        <f t="shared" si="48"/>
        <v>0</v>
      </c>
      <c r="I243" s="191">
        <f>IF('Expenditure - Base year'!R91="","",'Expenditure - Base year'!R91)</f>
        <v>0</v>
      </c>
      <c r="J243" s="190">
        <f t="shared" si="49"/>
        <v>0</v>
      </c>
      <c r="K243" s="207">
        <f t="shared" si="50"/>
        <v>0</v>
      </c>
      <c r="L243" s="211">
        <f t="shared" si="51"/>
        <v>0</v>
      </c>
      <c r="M243" s="205"/>
      <c r="N243" s="206"/>
    </row>
    <row r="244" spans="3:14" hidden="1" outlineLevel="1" x14ac:dyDescent="0.2">
      <c r="C244" s="13"/>
      <c r="D244" s="19">
        <f t="shared" si="52"/>
        <v>82</v>
      </c>
      <c r="E244" s="178" t="str">
        <f>IF(OR('Services - NHC'!E91="",'Services - NHC'!E91="[Enter service]"),"",'Services - NHC'!E91)</f>
        <v/>
      </c>
      <c r="F244" s="179" t="str">
        <f>IF(OR('Services - NHC'!F91="",'Services - NHC'!F91="[Select]"),"",'Services - NHC'!F91)</f>
        <v/>
      </c>
      <c r="G244" s="191">
        <f>IF('Revenue - Base year'!V93="","",'Revenue - Base year'!V93)</f>
        <v>0</v>
      </c>
      <c r="H244" s="191">
        <f t="shared" si="48"/>
        <v>0</v>
      </c>
      <c r="I244" s="191">
        <f>IF('Expenditure - Base year'!R92="","",'Expenditure - Base year'!R92)</f>
        <v>0</v>
      </c>
      <c r="J244" s="190">
        <f t="shared" si="49"/>
        <v>0</v>
      </c>
      <c r="K244" s="207">
        <f t="shared" si="50"/>
        <v>0</v>
      </c>
      <c r="L244" s="211">
        <f t="shared" si="51"/>
        <v>0</v>
      </c>
      <c r="M244" s="205"/>
      <c r="N244" s="206"/>
    </row>
    <row r="245" spans="3:14" hidden="1" outlineLevel="1" x14ac:dyDescent="0.2">
      <c r="C245" s="13"/>
      <c r="D245" s="85">
        <f t="shared" si="52"/>
        <v>83</v>
      </c>
      <c r="E245" s="178" t="str">
        <f>IF(OR('Services - NHC'!E92="",'Services - NHC'!E92="[Enter service]"),"",'Services - NHC'!E92)</f>
        <v/>
      </c>
      <c r="F245" s="179" t="str">
        <f>IF(OR('Services - NHC'!F92="",'Services - NHC'!F92="[Select]"),"",'Services - NHC'!F92)</f>
        <v/>
      </c>
      <c r="G245" s="191">
        <f>IF('Revenue - Base year'!V94="","",'Revenue - Base year'!V94)</f>
        <v>0</v>
      </c>
      <c r="H245" s="191">
        <f t="shared" si="48"/>
        <v>0</v>
      </c>
      <c r="I245" s="191">
        <f>IF('Expenditure - Base year'!R93="","",'Expenditure - Base year'!R93)</f>
        <v>0</v>
      </c>
      <c r="J245" s="190">
        <f t="shared" si="49"/>
        <v>0</v>
      </c>
      <c r="K245" s="207">
        <f t="shared" si="50"/>
        <v>0</v>
      </c>
      <c r="L245" s="211">
        <f t="shared" si="51"/>
        <v>0</v>
      </c>
      <c r="M245" s="205"/>
      <c r="N245" s="206"/>
    </row>
    <row r="246" spans="3:14" hidden="1" outlineLevel="1" x14ac:dyDescent="0.2">
      <c r="C246" s="13"/>
      <c r="D246" s="19">
        <f t="shared" si="52"/>
        <v>84</v>
      </c>
      <c r="E246" s="178" t="str">
        <f>IF(OR('Services - NHC'!E93="",'Services - NHC'!E93="[Enter service]"),"",'Services - NHC'!E93)</f>
        <v/>
      </c>
      <c r="F246" s="179" t="str">
        <f>IF(OR('Services - NHC'!F93="",'Services - NHC'!F93="[Select]"),"",'Services - NHC'!F93)</f>
        <v/>
      </c>
      <c r="G246" s="191">
        <f>IF('Revenue - Base year'!V95="","",'Revenue - Base year'!V95)</f>
        <v>0</v>
      </c>
      <c r="H246" s="191">
        <f t="shared" si="48"/>
        <v>0</v>
      </c>
      <c r="I246" s="191">
        <f>IF('Expenditure - Base year'!R94="","",'Expenditure - Base year'!R94)</f>
        <v>0</v>
      </c>
      <c r="J246" s="190">
        <f t="shared" si="49"/>
        <v>0</v>
      </c>
      <c r="K246" s="207">
        <f t="shared" si="50"/>
        <v>0</v>
      </c>
      <c r="L246" s="211">
        <f t="shared" si="51"/>
        <v>0</v>
      </c>
      <c r="M246" s="205"/>
      <c r="N246" s="206"/>
    </row>
    <row r="247" spans="3:14" hidden="1" outlineLevel="1" x14ac:dyDescent="0.2">
      <c r="C247" s="13"/>
      <c r="D247" s="19">
        <f t="shared" si="52"/>
        <v>85</v>
      </c>
      <c r="E247" s="178" t="str">
        <f>IF(OR('Services - NHC'!E94="",'Services - NHC'!E94="[Enter service]"),"",'Services - NHC'!E94)</f>
        <v/>
      </c>
      <c r="F247" s="179" t="str">
        <f>IF(OR('Services - NHC'!F94="",'Services - NHC'!F94="[Select]"),"",'Services - NHC'!F94)</f>
        <v/>
      </c>
      <c r="G247" s="191">
        <f>IF('Revenue - Base year'!V96="","",'Revenue - Base year'!V96)</f>
        <v>0</v>
      </c>
      <c r="H247" s="191">
        <f t="shared" si="48"/>
        <v>0</v>
      </c>
      <c r="I247" s="191">
        <f>IF('Expenditure - Base year'!R95="","",'Expenditure - Base year'!R95)</f>
        <v>0</v>
      </c>
      <c r="J247" s="190">
        <f t="shared" si="49"/>
        <v>0</v>
      </c>
      <c r="K247" s="207">
        <f t="shared" si="50"/>
        <v>0</v>
      </c>
      <c r="L247" s="211">
        <f t="shared" si="51"/>
        <v>0</v>
      </c>
      <c r="M247" s="205"/>
      <c r="N247" s="206"/>
    </row>
    <row r="248" spans="3:14" hidden="1" outlineLevel="1" x14ac:dyDescent="0.2">
      <c r="C248" s="13"/>
      <c r="D248" s="19">
        <f t="shared" si="52"/>
        <v>86</v>
      </c>
      <c r="E248" s="178" t="str">
        <f>IF(OR('Services - NHC'!E95="",'Services - NHC'!E95="[Enter service]"),"",'Services - NHC'!E95)</f>
        <v/>
      </c>
      <c r="F248" s="179" t="str">
        <f>IF(OR('Services - NHC'!F95="",'Services - NHC'!F95="[Select]"),"",'Services - NHC'!F95)</f>
        <v/>
      </c>
      <c r="G248" s="191">
        <f>IF('Revenue - Base year'!V97="","",'Revenue - Base year'!V97)</f>
        <v>0</v>
      </c>
      <c r="H248" s="191">
        <f t="shared" si="48"/>
        <v>0</v>
      </c>
      <c r="I248" s="191">
        <f>IF('Expenditure - Base year'!R96="","",'Expenditure - Base year'!R96)</f>
        <v>0</v>
      </c>
      <c r="J248" s="190">
        <f t="shared" si="49"/>
        <v>0</v>
      </c>
      <c r="K248" s="207">
        <f t="shared" si="50"/>
        <v>0</v>
      </c>
      <c r="L248" s="211">
        <f t="shared" si="51"/>
        <v>0</v>
      </c>
      <c r="M248" s="205"/>
      <c r="N248" s="206"/>
    </row>
    <row r="249" spans="3:14" hidden="1" outlineLevel="1" x14ac:dyDescent="0.2">
      <c r="C249" s="13"/>
      <c r="D249" s="85">
        <f t="shared" si="52"/>
        <v>87</v>
      </c>
      <c r="E249" s="178" t="str">
        <f>IF(OR('Services - NHC'!E96="",'Services - NHC'!E96="[Enter service]"),"",'Services - NHC'!E96)</f>
        <v/>
      </c>
      <c r="F249" s="179" t="str">
        <f>IF(OR('Services - NHC'!F96="",'Services - NHC'!F96="[Select]"),"",'Services - NHC'!F96)</f>
        <v/>
      </c>
      <c r="G249" s="191">
        <f>IF('Revenue - Base year'!V98="","",'Revenue - Base year'!V98)</f>
        <v>0</v>
      </c>
      <c r="H249" s="191">
        <f t="shared" si="48"/>
        <v>0</v>
      </c>
      <c r="I249" s="191">
        <f>IF('Expenditure - Base year'!R97="","",'Expenditure - Base year'!R97)</f>
        <v>0</v>
      </c>
      <c r="J249" s="190">
        <f t="shared" si="49"/>
        <v>0</v>
      </c>
      <c r="K249" s="207">
        <f t="shared" si="50"/>
        <v>0</v>
      </c>
      <c r="L249" s="211">
        <f t="shared" si="51"/>
        <v>0</v>
      </c>
      <c r="M249" s="205"/>
      <c r="N249" s="206"/>
    </row>
    <row r="250" spans="3:14" hidden="1" outlineLevel="1" x14ac:dyDescent="0.2">
      <c r="C250" s="13"/>
      <c r="D250" s="19">
        <f t="shared" si="52"/>
        <v>88</v>
      </c>
      <c r="E250" s="178" t="str">
        <f>IF(OR('Services - NHC'!E97="",'Services - NHC'!E97="[Enter service]"),"",'Services - NHC'!E97)</f>
        <v/>
      </c>
      <c r="F250" s="179" t="str">
        <f>IF(OR('Services - NHC'!F97="",'Services - NHC'!F97="[Select]"),"",'Services - NHC'!F97)</f>
        <v/>
      </c>
      <c r="G250" s="191">
        <f>IF('Revenue - Base year'!V99="","",'Revenue - Base year'!V99)</f>
        <v>0</v>
      </c>
      <c r="H250" s="191">
        <f t="shared" si="48"/>
        <v>0</v>
      </c>
      <c r="I250" s="191">
        <f>IF('Expenditure - Base year'!R98="","",'Expenditure - Base year'!R98)</f>
        <v>0</v>
      </c>
      <c r="J250" s="190">
        <f t="shared" si="49"/>
        <v>0</v>
      </c>
      <c r="K250" s="207">
        <f t="shared" si="50"/>
        <v>0</v>
      </c>
      <c r="L250" s="211">
        <f t="shared" si="51"/>
        <v>0</v>
      </c>
      <c r="M250" s="205"/>
      <c r="N250" s="206"/>
    </row>
    <row r="251" spans="3:14" hidden="1" outlineLevel="1" x14ac:dyDescent="0.2">
      <c r="C251" s="13"/>
      <c r="D251" s="19">
        <f t="shared" si="52"/>
        <v>89</v>
      </c>
      <c r="E251" s="178" t="str">
        <f>IF(OR('Services - NHC'!E98="",'Services - NHC'!E98="[Enter service]"),"",'Services - NHC'!E98)</f>
        <v/>
      </c>
      <c r="F251" s="179" t="str">
        <f>IF(OR('Services - NHC'!F98="",'Services - NHC'!F98="[Select]"),"",'Services - NHC'!F98)</f>
        <v/>
      </c>
      <c r="G251" s="191">
        <f>IF('Revenue - Base year'!V100="","",'Revenue - Base year'!V100)</f>
        <v>0</v>
      </c>
      <c r="H251" s="191">
        <f t="shared" si="48"/>
        <v>0</v>
      </c>
      <c r="I251" s="191">
        <f>IF('Expenditure - Base year'!R99="","",'Expenditure - Base year'!R99)</f>
        <v>0</v>
      </c>
      <c r="J251" s="190">
        <f t="shared" si="49"/>
        <v>0</v>
      </c>
      <c r="K251" s="207">
        <f t="shared" si="50"/>
        <v>0</v>
      </c>
      <c r="L251" s="211">
        <f t="shared" si="51"/>
        <v>0</v>
      </c>
      <c r="M251" s="205"/>
      <c r="N251" s="206"/>
    </row>
    <row r="252" spans="3:14" hidden="1" outlineLevel="1" x14ac:dyDescent="0.2">
      <c r="C252" s="13"/>
      <c r="D252" s="85">
        <f t="shared" si="52"/>
        <v>90</v>
      </c>
      <c r="E252" s="178" t="str">
        <f>IF(OR('Services - NHC'!E99="",'Services - NHC'!E99="[Enter service]"),"",'Services - NHC'!E99)</f>
        <v/>
      </c>
      <c r="F252" s="179" t="str">
        <f>IF(OR('Services - NHC'!F99="",'Services - NHC'!F99="[Select]"),"",'Services - NHC'!F99)</f>
        <v/>
      </c>
      <c r="G252" s="191">
        <f>IF('Revenue - Base year'!V101="","",'Revenue - Base year'!V101)</f>
        <v>0</v>
      </c>
      <c r="H252" s="191">
        <f t="shared" si="48"/>
        <v>0</v>
      </c>
      <c r="I252" s="191">
        <f>IF('Expenditure - Base year'!R100="","",'Expenditure - Base year'!R100)</f>
        <v>0</v>
      </c>
      <c r="J252" s="190">
        <f t="shared" si="49"/>
        <v>0</v>
      </c>
      <c r="K252" s="207">
        <f t="shared" si="50"/>
        <v>0</v>
      </c>
      <c r="L252" s="211">
        <f t="shared" si="51"/>
        <v>0</v>
      </c>
      <c r="M252" s="205"/>
      <c r="N252" s="206"/>
    </row>
    <row r="253" spans="3:14" hidden="1" outlineLevel="1" x14ac:dyDescent="0.2">
      <c r="C253" s="13"/>
      <c r="D253" s="19">
        <f t="shared" si="52"/>
        <v>91</v>
      </c>
      <c r="E253" s="178" t="str">
        <f>IF(OR('Services - NHC'!E100="",'Services - NHC'!E100="[Enter service]"),"",'Services - NHC'!E100)</f>
        <v/>
      </c>
      <c r="F253" s="179" t="str">
        <f>IF(OR('Services - NHC'!F100="",'Services - NHC'!F100="[Select]"),"",'Services - NHC'!F100)</f>
        <v/>
      </c>
      <c r="G253" s="191">
        <f>IF('Revenue - Base year'!V102="","",'Revenue - Base year'!V102)</f>
        <v>0</v>
      </c>
      <c r="H253" s="191">
        <f t="shared" si="48"/>
        <v>0</v>
      </c>
      <c r="I253" s="191">
        <f>IF('Expenditure - Base year'!R101="","",'Expenditure - Base year'!R101)</f>
        <v>0</v>
      </c>
      <c r="J253" s="190">
        <f t="shared" si="49"/>
        <v>0</v>
      </c>
      <c r="K253" s="207">
        <f t="shared" si="50"/>
        <v>0</v>
      </c>
      <c r="L253" s="211">
        <f t="shared" si="51"/>
        <v>0</v>
      </c>
      <c r="M253" s="205"/>
      <c r="N253" s="206"/>
    </row>
    <row r="254" spans="3:14" hidden="1" outlineLevel="1" x14ac:dyDescent="0.2">
      <c r="C254" s="13"/>
      <c r="D254" s="19">
        <f t="shared" si="52"/>
        <v>92</v>
      </c>
      <c r="E254" s="178" t="str">
        <f>IF(OR('Services - NHC'!E101="",'Services - NHC'!E101="[Enter service]"),"",'Services - NHC'!E101)</f>
        <v/>
      </c>
      <c r="F254" s="179" t="str">
        <f>IF(OR('Services - NHC'!F101="",'Services - NHC'!F101="[Select]"),"",'Services - NHC'!F101)</f>
        <v/>
      </c>
      <c r="G254" s="191">
        <f>IF('Revenue - Base year'!V103="","",'Revenue - Base year'!V103)</f>
        <v>0</v>
      </c>
      <c r="H254" s="191">
        <f t="shared" si="48"/>
        <v>0</v>
      </c>
      <c r="I254" s="191">
        <f>IF('Expenditure - Base year'!R102="","",'Expenditure - Base year'!R102)</f>
        <v>0</v>
      </c>
      <c r="J254" s="190">
        <f t="shared" si="49"/>
        <v>0</v>
      </c>
      <c r="K254" s="207">
        <f t="shared" si="50"/>
        <v>0</v>
      </c>
      <c r="L254" s="211">
        <f t="shared" si="51"/>
        <v>0</v>
      </c>
      <c r="M254" s="205"/>
      <c r="N254" s="206"/>
    </row>
    <row r="255" spans="3:14" hidden="1" outlineLevel="1" x14ac:dyDescent="0.2">
      <c r="C255" s="13"/>
      <c r="D255" s="19">
        <f t="shared" si="52"/>
        <v>93</v>
      </c>
      <c r="E255" s="178" t="str">
        <f>IF(OR('Services - NHC'!E102="",'Services - NHC'!E102="[Enter service]"),"",'Services - NHC'!E102)</f>
        <v/>
      </c>
      <c r="F255" s="179" t="str">
        <f>IF(OR('Services - NHC'!F102="",'Services - NHC'!F102="[Select]"),"",'Services - NHC'!F102)</f>
        <v/>
      </c>
      <c r="G255" s="191">
        <f>IF('Revenue - Base year'!V104="","",'Revenue - Base year'!V104)</f>
        <v>0</v>
      </c>
      <c r="H255" s="191">
        <f t="shared" si="48"/>
        <v>0</v>
      </c>
      <c r="I255" s="191">
        <f>IF('Expenditure - Base year'!R103="","",'Expenditure - Base year'!R103)</f>
        <v>0</v>
      </c>
      <c r="J255" s="190">
        <f t="shared" si="49"/>
        <v>0</v>
      </c>
      <c r="K255" s="207">
        <f t="shared" si="50"/>
        <v>0</v>
      </c>
      <c r="L255" s="211">
        <f t="shared" si="51"/>
        <v>0</v>
      </c>
      <c r="M255" s="205"/>
      <c r="N255" s="206"/>
    </row>
    <row r="256" spans="3:14" hidden="1" outlineLevel="1" x14ac:dyDescent="0.2">
      <c r="C256" s="13"/>
      <c r="D256" s="85">
        <f t="shared" si="52"/>
        <v>94</v>
      </c>
      <c r="E256" s="178" t="str">
        <f>IF(OR('Services - NHC'!E103="",'Services - NHC'!E103="[Enter service]"),"",'Services - NHC'!E103)</f>
        <v/>
      </c>
      <c r="F256" s="179" t="str">
        <f>IF(OR('Services - NHC'!F103="",'Services - NHC'!F103="[Select]"),"",'Services - NHC'!F103)</f>
        <v/>
      </c>
      <c r="G256" s="191">
        <f>IF('Revenue - Base year'!V105="","",'Revenue - Base year'!V105)</f>
        <v>0</v>
      </c>
      <c r="H256" s="191">
        <f t="shared" si="48"/>
        <v>0</v>
      </c>
      <c r="I256" s="191">
        <f>IF('Expenditure - Base year'!R104="","",'Expenditure - Base year'!R104)</f>
        <v>0</v>
      </c>
      <c r="J256" s="190">
        <f t="shared" si="49"/>
        <v>0</v>
      </c>
      <c r="K256" s="207">
        <f t="shared" si="50"/>
        <v>0</v>
      </c>
      <c r="L256" s="211">
        <f t="shared" si="51"/>
        <v>0</v>
      </c>
      <c r="M256" s="205"/>
      <c r="N256" s="206"/>
    </row>
    <row r="257" spans="3:14" hidden="1" outlineLevel="1" x14ac:dyDescent="0.2">
      <c r="C257" s="13"/>
      <c r="D257" s="19">
        <f t="shared" si="52"/>
        <v>95</v>
      </c>
      <c r="E257" s="178" t="str">
        <f>IF(OR('Services - NHC'!E104="",'Services - NHC'!E104="[Enter service]"),"",'Services - NHC'!E104)</f>
        <v/>
      </c>
      <c r="F257" s="179" t="str">
        <f>IF(OR('Services - NHC'!F104="",'Services - NHC'!F104="[Select]"),"",'Services - NHC'!F104)</f>
        <v/>
      </c>
      <c r="G257" s="191">
        <f>IF('Revenue - Base year'!V106="","",'Revenue - Base year'!V106)</f>
        <v>0</v>
      </c>
      <c r="H257" s="191">
        <f t="shared" si="48"/>
        <v>0</v>
      </c>
      <c r="I257" s="191">
        <f>IF('Expenditure - Base year'!R105="","",'Expenditure - Base year'!R105)</f>
        <v>0</v>
      </c>
      <c r="J257" s="190">
        <f t="shared" si="49"/>
        <v>0</v>
      </c>
      <c r="K257" s="207">
        <f t="shared" si="50"/>
        <v>0</v>
      </c>
      <c r="L257" s="211">
        <f t="shared" si="51"/>
        <v>0</v>
      </c>
      <c r="M257" s="205"/>
      <c r="N257" s="206"/>
    </row>
    <row r="258" spans="3:14" hidden="1" outlineLevel="1" x14ac:dyDescent="0.2">
      <c r="C258" s="13"/>
      <c r="D258" s="19">
        <f t="shared" si="52"/>
        <v>96</v>
      </c>
      <c r="E258" s="178" t="str">
        <f>IF(OR('Services - NHC'!E105="",'Services - NHC'!E105="[Enter service]"),"",'Services - NHC'!E105)</f>
        <v/>
      </c>
      <c r="F258" s="179" t="str">
        <f>IF(OR('Services - NHC'!F105="",'Services - NHC'!F105="[Select]"),"",'Services - NHC'!F105)</f>
        <v/>
      </c>
      <c r="G258" s="191">
        <f>IF('Revenue - Base year'!V107="","",'Revenue - Base year'!V107)</f>
        <v>0</v>
      </c>
      <c r="H258" s="191">
        <f t="shared" si="48"/>
        <v>0</v>
      </c>
      <c r="I258" s="191">
        <f>IF('Expenditure - Base year'!R106="","",'Expenditure - Base year'!R106)</f>
        <v>0</v>
      </c>
      <c r="J258" s="190">
        <f t="shared" si="49"/>
        <v>0</v>
      </c>
      <c r="K258" s="207">
        <f t="shared" si="50"/>
        <v>0</v>
      </c>
      <c r="L258" s="211">
        <f t="shared" si="51"/>
        <v>0</v>
      </c>
      <c r="M258" s="205"/>
      <c r="N258" s="206"/>
    </row>
    <row r="259" spans="3:14" hidden="1" outlineLevel="1" x14ac:dyDescent="0.2">
      <c r="C259" s="13"/>
      <c r="D259" s="19">
        <f t="shared" si="52"/>
        <v>97</v>
      </c>
      <c r="E259" s="178" t="str">
        <f>IF(OR('Services - NHC'!E106="",'Services - NHC'!E106="[Enter service]"),"",'Services - NHC'!E106)</f>
        <v/>
      </c>
      <c r="F259" s="179" t="str">
        <f>IF(OR('Services - NHC'!F106="",'Services - NHC'!F106="[Select]"),"",'Services - NHC'!F106)</f>
        <v/>
      </c>
      <c r="G259" s="191">
        <f>IF('Revenue - Base year'!V108="","",'Revenue - Base year'!V108)</f>
        <v>0</v>
      </c>
      <c r="H259" s="191">
        <f t="shared" si="48"/>
        <v>0</v>
      </c>
      <c r="I259" s="191">
        <f>IF('Expenditure - Base year'!R107="","",'Expenditure - Base year'!R107)</f>
        <v>0</v>
      </c>
      <c r="J259" s="190">
        <f t="shared" si="49"/>
        <v>0</v>
      </c>
      <c r="K259" s="207">
        <f t="shared" si="50"/>
        <v>0</v>
      </c>
      <c r="L259" s="211">
        <f t="shared" si="51"/>
        <v>0</v>
      </c>
      <c r="M259" s="205"/>
      <c r="N259" s="206"/>
    </row>
    <row r="260" spans="3:14" hidden="1" outlineLevel="1" x14ac:dyDescent="0.2">
      <c r="C260" s="13"/>
      <c r="D260" s="85">
        <f t="shared" si="52"/>
        <v>98</v>
      </c>
      <c r="E260" s="178" t="str">
        <f>IF(OR('Services - NHC'!E107="",'Services - NHC'!E107="[Enter service]"),"",'Services - NHC'!E107)</f>
        <v/>
      </c>
      <c r="F260" s="179" t="str">
        <f>IF(OR('Services - NHC'!F107="",'Services - NHC'!F107="[Select]"),"",'Services - NHC'!F107)</f>
        <v/>
      </c>
      <c r="G260" s="191">
        <f>IF('Revenue - Base year'!V109="","",'Revenue - Base year'!V109)</f>
        <v>0</v>
      </c>
      <c r="H260" s="191">
        <f t="shared" si="48"/>
        <v>0</v>
      </c>
      <c r="I260" s="191">
        <f>IF('Expenditure - Base year'!R108="","",'Expenditure - Base year'!R108)</f>
        <v>0</v>
      </c>
      <c r="J260" s="190">
        <f t="shared" si="49"/>
        <v>0</v>
      </c>
      <c r="K260" s="207">
        <f t="shared" si="50"/>
        <v>0</v>
      </c>
      <c r="L260" s="211">
        <f t="shared" si="51"/>
        <v>0</v>
      </c>
      <c r="M260" s="205"/>
      <c r="N260" s="206"/>
    </row>
    <row r="261" spans="3:14" hidden="1" outlineLevel="1" x14ac:dyDescent="0.2">
      <c r="C261" s="13"/>
      <c r="D261" s="19">
        <f t="shared" si="52"/>
        <v>99</v>
      </c>
      <c r="E261" s="178" t="str">
        <f>IF(OR('Services - NHC'!E108="",'Services - NHC'!E108="[Enter service]"),"",'Services - NHC'!E108)</f>
        <v/>
      </c>
      <c r="F261" s="179" t="str">
        <f>IF(OR('Services - NHC'!F108="",'Services - NHC'!F108="[Select]"),"",'Services - NHC'!F108)</f>
        <v/>
      </c>
      <c r="G261" s="191">
        <f>IF('Revenue - Base year'!V110="","",'Revenue - Base year'!V110)</f>
        <v>0</v>
      </c>
      <c r="H261" s="191">
        <f t="shared" si="48"/>
        <v>0</v>
      </c>
      <c r="I261" s="191">
        <f>IF('Expenditure - Base year'!R109="","",'Expenditure - Base year'!R109)</f>
        <v>0</v>
      </c>
      <c r="J261" s="190">
        <f t="shared" si="49"/>
        <v>0</v>
      </c>
      <c r="K261" s="207">
        <f t="shared" si="50"/>
        <v>0</v>
      </c>
      <c r="L261" s="211">
        <f t="shared" si="51"/>
        <v>0</v>
      </c>
      <c r="M261" s="205"/>
      <c r="N261" s="206"/>
    </row>
    <row r="262" spans="3:14" hidden="1" outlineLevel="1" x14ac:dyDescent="0.2">
      <c r="C262" s="13"/>
      <c r="D262" s="19">
        <f t="shared" si="52"/>
        <v>100</v>
      </c>
      <c r="E262" s="178" t="str">
        <f>IF(OR('Services - NHC'!E109="",'Services - NHC'!E109="[Enter service]"),"",'Services - NHC'!E109)</f>
        <v/>
      </c>
      <c r="F262" s="179" t="str">
        <f>IF(OR('Services - NHC'!F109="",'Services - NHC'!F109="[Select]"),"",'Services - NHC'!F109)</f>
        <v/>
      </c>
      <c r="G262" s="191">
        <f>IF('Revenue - Base year'!V111="","",'Revenue - Base year'!V111)</f>
        <v>0</v>
      </c>
      <c r="H262" s="191">
        <f t="shared" si="48"/>
        <v>0</v>
      </c>
      <c r="I262" s="191">
        <f>IF('Expenditure - Base year'!R110="","",'Expenditure - Base year'!R110)</f>
        <v>0</v>
      </c>
      <c r="J262" s="190">
        <f t="shared" si="49"/>
        <v>0</v>
      </c>
      <c r="K262" s="207">
        <f t="shared" si="50"/>
        <v>0</v>
      </c>
      <c r="L262" s="211">
        <f t="shared" si="51"/>
        <v>0</v>
      </c>
      <c r="M262" s="205"/>
      <c r="N262" s="206"/>
    </row>
    <row r="263" spans="3:14" hidden="1" outlineLevel="1" x14ac:dyDescent="0.2">
      <c r="C263" s="13"/>
      <c r="D263" s="19">
        <f t="shared" si="52"/>
        <v>101</v>
      </c>
      <c r="E263" s="178" t="str">
        <f>IF(OR('Services - NHC'!E110="",'Services - NHC'!E110="[Enter service]"),"",'Services - NHC'!E110)</f>
        <v/>
      </c>
      <c r="F263" s="179" t="str">
        <f>IF(OR('Services - NHC'!F110="",'Services - NHC'!F110="[Select]"),"",'Services - NHC'!F110)</f>
        <v/>
      </c>
      <c r="G263" s="191">
        <f>IF('Revenue - Base year'!V112="","",'Revenue - Base year'!V112)</f>
        <v>0</v>
      </c>
      <c r="H263" s="191">
        <f t="shared" si="48"/>
        <v>0</v>
      </c>
      <c r="I263" s="191">
        <f>IF('Expenditure - Base year'!R111="","",'Expenditure - Base year'!R111)</f>
        <v>0</v>
      </c>
      <c r="J263" s="190">
        <f t="shared" si="49"/>
        <v>0</v>
      </c>
      <c r="K263" s="207">
        <f t="shared" si="50"/>
        <v>0</v>
      </c>
      <c r="L263" s="211">
        <f t="shared" si="51"/>
        <v>0</v>
      </c>
      <c r="M263" s="205"/>
      <c r="N263" s="206"/>
    </row>
    <row r="264" spans="3:14" hidden="1" outlineLevel="1" x14ac:dyDescent="0.2">
      <c r="C264" s="13"/>
      <c r="D264" s="19">
        <f t="shared" si="52"/>
        <v>102</v>
      </c>
      <c r="E264" s="178" t="str">
        <f>IF(OR('Services - NHC'!E111="",'Services - NHC'!E111="[Enter service]"),"",'Services - NHC'!E111)</f>
        <v/>
      </c>
      <c r="F264" s="179" t="str">
        <f>IF(OR('Services - NHC'!F111="",'Services - NHC'!F111="[Select]"),"",'Services - NHC'!F111)</f>
        <v/>
      </c>
      <c r="G264" s="191">
        <f>IF('Revenue - Base year'!V113="","",'Revenue - Base year'!V113)</f>
        <v>0</v>
      </c>
      <c r="H264" s="191">
        <f t="shared" si="48"/>
        <v>0</v>
      </c>
      <c r="I264" s="191">
        <f>IF('Expenditure - Base year'!R112="","",'Expenditure - Base year'!R112)</f>
        <v>0</v>
      </c>
      <c r="J264" s="190">
        <f t="shared" si="49"/>
        <v>0</v>
      </c>
      <c r="K264" s="207">
        <f t="shared" si="50"/>
        <v>0</v>
      </c>
      <c r="L264" s="211">
        <f t="shared" si="51"/>
        <v>0</v>
      </c>
      <c r="M264" s="205"/>
      <c r="N264" s="206"/>
    </row>
    <row r="265" spans="3:14" hidden="1" outlineLevel="1" x14ac:dyDescent="0.2">
      <c r="C265" s="13"/>
      <c r="D265" s="19">
        <f t="shared" si="52"/>
        <v>103</v>
      </c>
      <c r="E265" s="178" t="str">
        <f>IF(OR('Services - NHC'!E112="",'Services - NHC'!E112="[Enter service]"),"",'Services - NHC'!E112)</f>
        <v/>
      </c>
      <c r="F265" s="179" t="str">
        <f>IF(OR('Services - NHC'!F112="",'Services - NHC'!F112="[Select]"),"",'Services - NHC'!F112)</f>
        <v/>
      </c>
      <c r="G265" s="191">
        <f>IF('Revenue - Base year'!V114="","",'Revenue - Base year'!V114)</f>
        <v>0</v>
      </c>
      <c r="H265" s="191">
        <f t="shared" si="48"/>
        <v>0</v>
      </c>
      <c r="I265" s="191">
        <f>IF('Expenditure - Base year'!R113="","",'Expenditure - Base year'!R113)</f>
        <v>0</v>
      </c>
      <c r="J265" s="190">
        <f t="shared" si="49"/>
        <v>0</v>
      </c>
      <c r="K265" s="207">
        <f t="shared" si="50"/>
        <v>0</v>
      </c>
      <c r="L265" s="211">
        <f t="shared" si="51"/>
        <v>0</v>
      </c>
      <c r="M265" s="205"/>
      <c r="N265" s="206"/>
    </row>
    <row r="266" spans="3:14" hidden="1" outlineLevel="1" x14ac:dyDescent="0.2">
      <c r="C266" s="13"/>
      <c r="D266" s="19">
        <f t="shared" si="52"/>
        <v>104</v>
      </c>
      <c r="E266" s="178" t="str">
        <f>IF(OR('Services - NHC'!E113="",'Services - NHC'!E113="[Enter service]"),"",'Services - NHC'!E113)</f>
        <v/>
      </c>
      <c r="F266" s="179" t="str">
        <f>IF(OR('Services - NHC'!F113="",'Services - NHC'!F113="[Select]"),"",'Services - NHC'!F113)</f>
        <v/>
      </c>
      <c r="G266" s="191">
        <f>IF('Revenue - Base year'!V115="","",'Revenue - Base year'!V115)</f>
        <v>0</v>
      </c>
      <c r="H266" s="191">
        <f t="shared" si="48"/>
        <v>0</v>
      </c>
      <c r="I266" s="191">
        <f>IF('Expenditure - Base year'!R114="","",'Expenditure - Base year'!R114)</f>
        <v>0</v>
      </c>
      <c r="J266" s="190">
        <f t="shared" si="49"/>
        <v>0</v>
      </c>
      <c r="K266" s="207">
        <f t="shared" si="50"/>
        <v>0</v>
      </c>
      <c r="L266" s="211">
        <f t="shared" si="51"/>
        <v>0</v>
      </c>
      <c r="M266" s="205"/>
      <c r="N266" s="206"/>
    </row>
    <row r="267" spans="3:14" hidden="1" outlineLevel="1" x14ac:dyDescent="0.2">
      <c r="C267" s="13"/>
      <c r="D267" s="19">
        <f t="shared" si="52"/>
        <v>105</v>
      </c>
      <c r="E267" s="178" t="str">
        <f>IF(OR('Services - NHC'!E114="",'Services - NHC'!E114="[Enter service]"),"",'Services - NHC'!E114)</f>
        <v/>
      </c>
      <c r="F267" s="179" t="str">
        <f>IF(OR('Services - NHC'!F114="",'Services - NHC'!F114="[Select]"),"",'Services - NHC'!F114)</f>
        <v/>
      </c>
      <c r="G267" s="191">
        <f>IF('Revenue - Base year'!V116="","",'Revenue - Base year'!V116)</f>
        <v>0</v>
      </c>
      <c r="H267" s="191">
        <f t="shared" si="48"/>
        <v>0</v>
      </c>
      <c r="I267" s="191">
        <f>IF('Expenditure - Base year'!R115="","",'Expenditure - Base year'!R115)</f>
        <v>0</v>
      </c>
      <c r="J267" s="190">
        <f t="shared" si="49"/>
        <v>0</v>
      </c>
      <c r="K267" s="207">
        <f t="shared" si="50"/>
        <v>0</v>
      </c>
      <c r="L267" s="211">
        <f t="shared" si="51"/>
        <v>0</v>
      </c>
      <c r="M267" s="205"/>
      <c r="N267" s="206"/>
    </row>
    <row r="268" spans="3:14" hidden="1" outlineLevel="1" x14ac:dyDescent="0.2">
      <c r="C268" s="13"/>
      <c r="D268" s="19">
        <f t="shared" si="52"/>
        <v>106</v>
      </c>
      <c r="E268" s="178" t="str">
        <f>IF(OR('Services - NHC'!E115="",'Services - NHC'!E115="[Enter service]"),"",'Services - NHC'!E115)</f>
        <v/>
      </c>
      <c r="F268" s="179" t="str">
        <f>IF(OR('Services - NHC'!F115="",'Services - NHC'!F115="[Select]"),"",'Services - NHC'!F115)</f>
        <v/>
      </c>
      <c r="G268" s="191">
        <f>IF('Revenue - Base year'!V117="","",'Revenue - Base year'!V117)</f>
        <v>0</v>
      </c>
      <c r="H268" s="191">
        <f t="shared" si="48"/>
        <v>0</v>
      </c>
      <c r="I268" s="191">
        <f>IF('Expenditure - Base year'!R116="","",'Expenditure - Base year'!R116)</f>
        <v>0</v>
      </c>
      <c r="J268" s="190">
        <f t="shared" si="49"/>
        <v>0</v>
      </c>
      <c r="K268" s="207">
        <f t="shared" si="50"/>
        <v>0</v>
      </c>
      <c r="L268" s="211">
        <f t="shared" si="51"/>
        <v>0</v>
      </c>
      <c r="M268" s="205"/>
      <c r="N268" s="206"/>
    </row>
    <row r="269" spans="3:14" hidden="1" outlineLevel="1" x14ac:dyDescent="0.2">
      <c r="C269" s="13"/>
      <c r="D269" s="19">
        <f t="shared" si="52"/>
        <v>107</v>
      </c>
      <c r="E269" s="178" t="str">
        <f>IF(OR('Services - NHC'!E116="",'Services - NHC'!E116="[Enter service]"),"",'Services - NHC'!E116)</f>
        <v/>
      </c>
      <c r="F269" s="179" t="str">
        <f>IF(OR('Services - NHC'!F116="",'Services - NHC'!F116="[Select]"),"",'Services - NHC'!F116)</f>
        <v/>
      </c>
      <c r="G269" s="191">
        <f>IF('Revenue - Base year'!V118="","",'Revenue - Base year'!V118)</f>
        <v>0</v>
      </c>
      <c r="H269" s="191">
        <f t="shared" si="48"/>
        <v>0</v>
      </c>
      <c r="I269" s="191">
        <f>IF('Expenditure - Base year'!R117="","",'Expenditure - Base year'!R117)</f>
        <v>0</v>
      </c>
      <c r="J269" s="190">
        <f t="shared" si="49"/>
        <v>0</v>
      </c>
      <c r="K269" s="207">
        <f t="shared" si="50"/>
        <v>0</v>
      </c>
      <c r="L269" s="211">
        <f t="shared" si="51"/>
        <v>0</v>
      </c>
      <c r="M269" s="205"/>
      <c r="N269" s="206"/>
    </row>
    <row r="270" spans="3:14" hidden="1" outlineLevel="1" x14ac:dyDescent="0.2">
      <c r="C270" s="13"/>
      <c r="D270" s="19">
        <f t="shared" si="52"/>
        <v>108</v>
      </c>
      <c r="E270" s="178" t="str">
        <f>IF(OR('Services - NHC'!E117="",'Services - NHC'!E117="[Enter service]"),"",'Services - NHC'!E117)</f>
        <v/>
      </c>
      <c r="F270" s="179" t="str">
        <f>IF(OR('Services - NHC'!F117="",'Services - NHC'!F117="[Select]"),"",'Services - NHC'!F117)</f>
        <v/>
      </c>
      <c r="G270" s="191">
        <f>IF('Revenue - Base year'!V119="","",'Revenue - Base year'!V119)</f>
        <v>0</v>
      </c>
      <c r="H270" s="191">
        <f t="shared" si="48"/>
        <v>0</v>
      </c>
      <c r="I270" s="191">
        <f>IF('Expenditure - Base year'!R118="","",'Expenditure - Base year'!R118)</f>
        <v>0</v>
      </c>
      <c r="J270" s="190">
        <f t="shared" si="49"/>
        <v>0</v>
      </c>
      <c r="K270" s="207">
        <f t="shared" si="50"/>
        <v>0</v>
      </c>
      <c r="L270" s="211">
        <f t="shared" si="51"/>
        <v>0</v>
      </c>
      <c r="M270" s="205"/>
      <c r="N270" s="206"/>
    </row>
    <row r="271" spans="3:14" hidden="1" outlineLevel="1" x14ac:dyDescent="0.2">
      <c r="C271" s="13"/>
      <c r="D271" s="19">
        <f t="shared" si="52"/>
        <v>109</v>
      </c>
      <c r="E271" s="178" t="str">
        <f>IF(OR('Services - NHC'!E118="",'Services - NHC'!E118="[Enter service]"),"",'Services - NHC'!E118)</f>
        <v/>
      </c>
      <c r="F271" s="179" t="str">
        <f>IF(OR('Services - NHC'!F118="",'Services - NHC'!F118="[Select]"),"",'Services - NHC'!F118)</f>
        <v/>
      </c>
      <c r="G271" s="191">
        <f>IF('Revenue - Base year'!V120="","",'Revenue - Base year'!V120)</f>
        <v>0</v>
      </c>
      <c r="H271" s="191">
        <f t="shared" si="48"/>
        <v>0</v>
      </c>
      <c r="I271" s="191">
        <f>IF('Expenditure - Base year'!R119="","",'Expenditure - Base year'!R119)</f>
        <v>0</v>
      </c>
      <c r="J271" s="190">
        <f t="shared" si="49"/>
        <v>0</v>
      </c>
      <c r="K271" s="207">
        <f t="shared" si="50"/>
        <v>0</v>
      </c>
      <c r="L271" s="211">
        <f t="shared" si="51"/>
        <v>0</v>
      </c>
      <c r="M271" s="205"/>
      <c r="N271" s="206"/>
    </row>
    <row r="272" spans="3:14" hidden="1" outlineLevel="1" x14ac:dyDescent="0.2">
      <c r="C272" s="13"/>
      <c r="D272" s="19">
        <f t="shared" si="52"/>
        <v>110</v>
      </c>
      <c r="E272" s="178" t="str">
        <f>IF(OR('Services - NHC'!E119="",'Services - NHC'!E119="[Enter service]"),"",'Services - NHC'!E119)</f>
        <v/>
      </c>
      <c r="F272" s="179" t="str">
        <f>IF(OR('Services - NHC'!F119="",'Services - NHC'!F119="[Select]"),"",'Services - NHC'!F119)</f>
        <v/>
      </c>
      <c r="G272" s="191">
        <f>IF('Revenue - Base year'!V121="","",'Revenue - Base year'!V121)</f>
        <v>0</v>
      </c>
      <c r="H272" s="191">
        <f t="shared" si="48"/>
        <v>0</v>
      </c>
      <c r="I272" s="191">
        <f>IF('Expenditure - Base year'!R120="","",'Expenditure - Base year'!R120)</f>
        <v>0</v>
      </c>
      <c r="J272" s="190">
        <f t="shared" si="49"/>
        <v>0</v>
      </c>
      <c r="K272" s="207">
        <f t="shared" si="50"/>
        <v>0</v>
      </c>
      <c r="L272" s="211">
        <f t="shared" si="51"/>
        <v>0</v>
      </c>
      <c r="M272" s="205"/>
      <c r="N272" s="206"/>
    </row>
    <row r="273" spans="3:14" hidden="1" outlineLevel="1" x14ac:dyDescent="0.2">
      <c r="C273" s="13"/>
      <c r="D273" s="19">
        <f t="shared" si="52"/>
        <v>111</v>
      </c>
      <c r="E273" s="178" t="str">
        <f>IF(OR('Services - NHC'!E120="",'Services - NHC'!E120="[Enter service]"),"",'Services - NHC'!E120)</f>
        <v/>
      </c>
      <c r="F273" s="179" t="str">
        <f>IF(OR('Services - NHC'!F120="",'Services - NHC'!F120="[Select]"),"",'Services - NHC'!F120)</f>
        <v/>
      </c>
      <c r="G273" s="191">
        <f>IF('Revenue - Base year'!V122="","",'Revenue - Base year'!V122)</f>
        <v>0</v>
      </c>
      <c r="H273" s="191">
        <f t="shared" si="48"/>
        <v>0</v>
      </c>
      <c r="I273" s="191">
        <f>IF('Expenditure - Base year'!R121="","",'Expenditure - Base year'!R121)</f>
        <v>0</v>
      </c>
      <c r="J273" s="190">
        <f t="shared" si="49"/>
        <v>0</v>
      </c>
      <c r="K273" s="207">
        <f t="shared" si="50"/>
        <v>0</v>
      </c>
      <c r="L273" s="211">
        <f t="shared" si="51"/>
        <v>0</v>
      </c>
      <c r="M273" s="205"/>
      <c r="N273" s="206"/>
    </row>
    <row r="274" spans="3:14" hidden="1" outlineLevel="1" x14ac:dyDescent="0.2">
      <c r="C274" s="13"/>
      <c r="D274" s="19">
        <f t="shared" si="52"/>
        <v>112</v>
      </c>
      <c r="E274" s="178" t="str">
        <f>IF(OR('Services - NHC'!E121="",'Services - NHC'!E121="[Enter service]"),"",'Services - NHC'!E121)</f>
        <v/>
      </c>
      <c r="F274" s="179" t="str">
        <f>IF(OR('Services - NHC'!F121="",'Services - NHC'!F121="[Select]"),"",'Services - NHC'!F121)</f>
        <v/>
      </c>
      <c r="G274" s="191">
        <f>IF('Revenue - Base year'!V123="","",'Revenue - Base year'!V123)</f>
        <v>0</v>
      </c>
      <c r="H274" s="191">
        <f t="shared" si="48"/>
        <v>0</v>
      </c>
      <c r="I274" s="191">
        <f>IF('Expenditure - Base year'!R122="","",'Expenditure - Base year'!R122)</f>
        <v>0</v>
      </c>
      <c r="J274" s="190">
        <f t="shared" si="49"/>
        <v>0</v>
      </c>
      <c r="K274" s="207">
        <f t="shared" si="50"/>
        <v>0</v>
      </c>
      <c r="L274" s="211">
        <f t="shared" si="51"/>
        <v>0</v>
      </c>
      <c r="M274" s="205"/>
      <c r="N274" s="206"/>
    </row>
    <row r="275" spans="3:14" hidden="1" outlineLevel="1" x14ac:dyDescent="0.2">
      <c r="C275" s="13"/>
      <c r="D275" s="19">
        <f t="shared" si="52"/>
        <v>113</v>
      </c>
      <c r="E275" s="178" t="str">
        <f>IF(OR('Services - NHC'!E122="",'Services - NHC'!E122="[Enter service]"),"",'Services - NHC'!E122)</f>
        <v/>
      </c>
      <c r="F275" s="179" t="str">
        <f>IF(OR('Services - NHC'!F122="",'Services - NHC'!F122="[Select]"),"",'Services - NHC'!F122)</f>
        <v/>
      </c>
      <c r="G275" s="191">
        <f>IF('Revenue - Base year'!V124="","",'Revenue - Base year'!V124)</f>
        <v>0</v>
      </c>
      <c r="H275" s="191">
        <f t="shared" si="48"/>
        <v>0</v>
      </c>
      <c r="I275" s="191">
        <f>IF('Expenditure - Base year'!R123="","",'Expenditure - Base year'!R123)</f>
        <v>0</v>
      </c>
      <c r="J275" s="190">
        <f t="shared" si="49"/>
        <v>0</v>
      </c>
      <c r="K275" s="207">
        <f t="shared" si="50"/>
        <v>0</v>
      </c>
      <c r="L275" s="211">
        <f t="shared" si="51"/>
        <v>0</v>
      </c>
      <c r="M275" s="205"/>
      <c r="N275" s="206"/>
    </row>
    <row r="276" spans="3:14" hidden="1" outlineLevel="1" x14ac:dyDescent="0.2">
      <c r="C276" s="13"/>
      <c r="D276" s="19">
        <f t="shared" si="52"/>
        <v>114</v>
      </c>
      <c r="E276" s="178" t="str">
        <f>IF(OR('Services - NHC'!E123="",'Services - NHC'!E123="[Enter service]"),"",'Services - NHC'!E123)</f>
        <v/>
      </c>
      <c r="F276" s="179" t="str">
        <f>IF(OR('Services - NHC'!F123="",'Services - NHC'!F123="[Select]"),"",'Services - NHC'!F123)</f>
        <v/>
      </c>
      <c r="G276" s="191">
        <f>IF('Revenue - Base year'!V125="","",'Revenue - Base year'!V125)</f>
        <v>0</v>
      </c>
      <c r="H276" s="191">
        <f t="shared" si="48"/>
        <v>0</v>
      </c>
      <c r="I276" s="191">
        <f>IF('Expenditure - Base year'!R124="","",'Expenditure - Base year'!R124)</f>
        <v>0</v>
      </c>
      <c r="J276" s="190">
        <f t="shared" si="49"/>
        <v>0</v>
      </c>
      <c r="K276" s="207">
        <f t="shared" si="50"/>
        <v>0</v>
      </c>
      <c r="L276" s="211">
        <f t="shared" si="51"/>
        <v>0</v>
      </c>
      <c r="M276" s="205"/>
      <c r="N276" s="206"/>
    </row>
    <row r="277" spans="3:14" hidden="1" outlineLevel="1" x14ac:dyDescent="0.2">
      <c r="C277" s="13"/>
      <c r="D277" s="19">
        <f t="shared" si="52"/>
        <v>115</v>
      </c>
      <c r="E277" s="178" t="str">
        <f>IF(OR('Services - NHC'!E124="",'Services - NHC'!E124="[Enter service]"),"",'Services - NHC'!E124)</f>
        <v/>
      </c>
      <c r="F277" s="179" t="str">
        <f>IF(OR('Services - NHC'!F124="",'Services - NHC'!F124="[Select]"),"",'Services - NHC'!F124)</f>
        <v/>
      </c>
      <c r="G277" s="191">
        <f>IF('Revenue - Base year'!V126="","",'Revenue - Base year'!V126)</f>
        <v>0</v>
      </c>
      <c r="H277" s="191">
        <f t="shared" si="48"/>
        <v>0</v>
      </c>
      <c r="I277" s="191">
        <f>IF('Expenditure - Base year'!R125="","",'Expenditure - Base year'!R125)</f>
        <v>0</v>
      </c>
      <c r="J277" s="190">
        <f t="shared" si="49"/>
        <v>0</v>
      </c>
      <c r="K277" s="207">
        <f t="shared" si="50"/>
        <v>0</v>
      </c>
      <c r="L277" s="211">
        <f t="shared" si="51"/>
        <v>0</v>
      </c>
      <c r="M277" s="205"/>
      <c r="N277" s="206"/>
    </row>
    <row r="278" spans="3:14" hidden="1" outlineLevel="1" x14ac:dyDescent="0.2">
      <c r="C278" s="13"/>
      <c r="D278" s="19">
        <f t="shared" si="52"/>
        <v>116</v>
      </c>
      <c r="E278" s="178" t="str">
        <f>IF(OR('Services - NHC'!E125="",'Services - NHC'!E125="[Enter service]"),"",'Services - NHC'!E125)</f>
        <v/>
      </c>
      <c r="F278" s="179" t="str">
        <f>IF(OR('Services - NHC'!F125="",'Services - NHC'!F125="[Select]"),"",'Services - NHC'!F125)</f>
        <v/>
      </c>
      <c r="G278" s="191">
        <f>IF('Revenue - Base year'!V127="","",'Revenue - Base year'!V127)</f>
        <v>0</v>
      </c>
      <c r="H278" s="191">
        <f t="shared" si="48"/>
        <v>0</v>
      </c>
      <c r="I278" s="191">
        <f>IF('Expenditure - Base year'!R126="","",'Expenditure - Base year'!R126)</f>
        <v>0</v>
      </c>
      <c r="J278" s="190">
        <f t="shared" si="49"/>
        <v>0</v>
      </c>
      <c r="K278" s="207">
        <f t="shared" si="50"/>
        <v>0</v>
      </c>
      <c r="L278" s="211">
        <f t="shared" si="51"/>
        <v>0</v>
      </c>
      <c r="M278" s="205"/>
      <c r="N278" s="206"/>
    </row>
    <row r="279" spans="3:14" hidden="1" outlineLevel="1" x14ac:dyDescent="0.2">
      <c r="C279" s="13"/>
      <c r="D279" s="19">
        <f t="shared" si="52"/>
        <v>117</v>
      </c>
      <c r="E279" s="178" t="str">
        <f>IF(OR('Services - NHC'!E126="",'Services - NHC'!E126="[Enter service]"),"",'Services - NHC'!E126)</f>
        <v/>
      </c>
      <c r="F279" s="179" t="str">
        <f>IF(OR('Services - NHC'!F126="",'Services - NHC'!F126="[Select]"),"",'Services - NHC'!F126)</f>
        <v/>
      </c>
      <c r="G279" s="191">
        <f>IF('Revenue - Base year'!V128="","",'Revenue - Base year'!V128)</f>
        <v>0</v>
      </c>
      <c r="H279" s="191">
        <f t="shared" si="48"/>
        <v>0</v>
      </c>
      <c r="I279" s="191">
        <f>IF('Expenditure - Base year'!R127="","",'Expenditure - Base year'!R127)</f>
        <v>0</v>
      </c>
      <c r="J279" s="190">
        <f t="shared" si="49"/>
        <v>0</v>
      </c>
      <c r="K279" s="207">
        <f t="shared" si="50"/>
        <v>0</v>
      </c>
      <c r="L279" s="211">
        <f t="shared" si="51"/>
        <v>0</v>
      </c>
      <c r="M279" s="205"/>
      <c r="N279" s="206"/>
    </row>
    <row r="280" spans="3:14" hidden="1" outlineLevel="1" x14ac:dyDescent="0.2">
      <c r="C280" s="13"/>
      <c r="D280" s="19">
        <f t="shared" si="52"/>
        <v>118</v>
      </c>
      <c r="E280" s="178" t="str">
        <f>IF(OR('Services - NHC'!E127="",'Services - NHC'!E127="[Enter service]"),"",'Services - NHC'!E127)</f>
        <v/>
      </c>
      <c r="F280" s="179" t="str">
        <f>IF(OR('Services - NHC'!F127="",'Services - NHC'!F127="[Select]"),"",'Services - NHC'!F127)</f>
        <v/>
      </c>
      <c r="G280" s="191">
        <f>IF('Revenue - Base year'!V129="","",'Revenue - Base year'!V129)</f>
        <v>0</v>
      </c>
      <c r="H280" s="191">
        <f t="shared" si="48"/>
        <v>0</v>
      </c>
      <c r="I280" s="191">
        <f>IF('Expenditure - Base year'!R128="","",'Expenditure - Base year'!R128)</f>
        <v>0</v>
      </c>
      <c r="J280" s="190">
        <f t="shared" si="49"/>
        <v>0</v>
      </c>
      <c r="K280" s="207">
        <f t="shared" si="50"/>
        <v>0</v>
      </c>
      <c r="L280" s="211">
        <f t="shared" si="51"/>
        <v>0</v>
      </c>
      <c r="M280" s="205"/>
      <c r="N280" s="206"/>
    </row>
    <row r="281" spans="3:14" hidden="1" outlineLevel="1" x14ac:dyDescent="0.2">
      <c r="C281" s="13"/>
      <c r="D281" s="19">
        <f t="shared" si="52"/>
        <v>119</v>
      </c>
      <c r="E281" s="178" t="str">
        <f>IF(OR('Services - NHC'!E128="",'Services - NHC'!E128="[Enter service]"),"",'Services - NHC'!E128)</f>
        <v/>
      </c>
      <c r="F281" s="179" t="str">
        <f>IF(OR('Services - NHC'!F128="",'Services - NHC'!F128="[Select]"),"",'Services - NHC'!F128)</f>
        <v/>
      </c>
      <c r="G281" s="191">
        <f>IF('Revenue - Base year'!V130="","",'Revenue - Base year'!V130)</f>
        <v>0</v>
      </c>
      <c r="H281" s="191">
        <f t="shared" si="48"/>
        <v>0</v>
      </c>
      <c r="I281" s="191">
        <f>IF('Expenditure - Base year'!R129="","",'Expenditure - Base year'!R129)</f>
        <v>0</v>
      </c>
      <c r="J281" s="190">
        <f t="shared" si="49"/>
        <v>0</v>
      </c>
      <c r="K281" s="207">
        <f t="shared" si="50"/>
        <v>0</v>
      </c>
      <c r="L281" s="211">
        <f t="shared" si="51"/>
        <v>0</v>
      </c>
      <c r="M281" s="205"/>
      <c r="N281" s="206"/>
    </row>
    <row r="282" spans="3:14" hidden="1" outlineLevel="1" x14ac:dyDescent="0.2">
      <c r="C282" s="13"/>
      <c r="D282" s="19">
        <f t="shared" si="52"/>
        <v>120</v>
      </c>
      <c r="E282" s="178" t="str">
        <f>IF(OR('Services - NHC'!E129="",'Services - NHC'!E129="[Enter service]"),"",'Services - NHC'!E129)</f>
        <v/>
      </c>
      <c r="F282" s="179" t="str">
        <f>IF(OR('Services - NHC'!F129="",'Services - NHC'!F129="[Select]"),"",'Services - NHC'!F129)</f>
        <v/>
      </c>
      <c r="G282" s="191">
        <f>IF('Revenue - Base year'!V131="","",'Revenue - Base year'!V131)</f>
        <v>0</v>
      </c>
      <c r="H282" s="191">
        <f t="shared" si="48"/>
        <v>0</v>
      </c>
      <c r="I282" s="191">
        <f>IF('Expenditure - Base year'!R130="","",'Expenditure - Base year'!R130)</f>
        <v>0</v>
      </c>
      <c r="J282" s="190">
        <f t="shared" si="49"/>
        <v>0</v>
      </c>
      <c r="K282" s="207">
        <f t="shared" si="50"/>
        <v>0</v>
      </c>
      <c r="L282" s="211">
        <f t="shared" si="51"/>
        <v>0</v>
      </c>
      <c r="M282" s="205"/>
      <c r="N282" s="206"/>
    </row>
    <row r="283" spans="3:14" hidden="1" outlineLevel="1" x14ac:dyDescent="0.2">
      <c r="C283" s="13"/>
      <c r="D283" s="19">
        <f t="shared" si="52"/>
        <v>121</v>
      </c>
      <c r="E283" s="178" t="str">
        <f>IF(OR('Services - NHC'!E130="",'Services - NHC'!E130="[Enter service]"),"",'Services - NHC'!E130)</f>
        <v/>
      </c>
      <c r="F283" s="179" t="str">
        <f>IF(OR('Services - NHC'!F130="",'Services - NHC'!F130="[Select]"),"",'Services - NHC'!F130)</f>
        <v/>
      </c>
      <c r="G283" s="191">
        <f>IF('Revenue - Base year'!V132="","",'Revenue - Base year'!V132)</f>
        <v>0</v>
      </c>
      <c r="H283" s="191">
        <f t="shared" si="48"/>
        <v>0</v>
      </c>
      <c r="I283" s="191">
        <f>IF('Expenditure - Base year'!R131="","",'Expenditure - Base year'!R131)</f>
        <v>0</v>
      </c>
      <c r="J283" s="190">
        <f t="shared" si="49"/>
        <v>0</v>
      </c>
      <c r="K283" s="207">
        <f t="shared" si="50"/>
        <v>0</v>
      </c>
      <c r="L283" s="211">
        <f t="shared" si="51"/>
        <v>0</v>
      </c>
      <c r="M283" s="205"/>
      <c r="N283" s="206"/>
    </row>
    <row r="284" spans="3:14" hidden="1" outlineLevel="1" x14ac:dyDescent="0.2">
      <c r="C284" s="13"/>
      <c r="D284" s="19">
        <f t="shared" si="52"/>
        <v>122</v>
      </c>
      <c r="E284" s="178" t="str">
        <f>IF(OR('Services - NHC'!E131="",'Services - NHC'!E131="[Enter service]"),"",'Services - NHC'!E131)</f>
        <v/>
      </c>
      <c r="F284" s="179" t="str">
        <f>IF(OR('Services - NHC'!F131="",'Services - NHC'!F131="[Select]"),"",'Services - NHC'!F131)</f>
        <v/>
      </c>
      <c r="G284" s="191">
        <f>IF('Revenue - Base year'!V133="","",'Revenue - Base year'!V133)</f>
        <v>0</v>
      </c>
      <c r="H284" s="191">
        <f t="shared" si="48"/>
        <v>0</v>
      </c>
      <c r="I284" s="191">
        <f>IF('Expenditure - Base year'!R132="","",'Expenditure - Base year'!R132)</f>
        <v>0</v>
      </c>
      <c r="J284" s="190">
        <f t="shared" si="49"/>
        <v>0</v>
      </c>
      <c r="K284" s="207">
        <f t="shared" si="50"/>
        <v>0</v>
      </c>
      <c r="L284" s="211">
        <f t="shared" si="51"/>
        <v>0</v>
      </c>
      <c r="M284" s="205"/>
      <c r="N284" s="206"/>
    </row>
    <row r="285" spans="3:14" hidden="1" outlineLevel="1" x14ac:dyDescent="0.2">
      <c r="C285" s="13"/>
      <c r="D285" s="19">
        <f t="shared" si="52"/>
        <v>123</v>
      </c>
      <c r="E285" s="178" t="str">
        <f>IF(OR('Services - NHC'!E132="",'Services - NHC'!E132="[Enter service]"),"",'Services - NHC'!E132)</f>
        <v/>
      </c>
      <c r="F285" s="179" t="str">
        <f>IF(OR('Services - NHC'!F132="",'Services - NHC'!F132="[Select]"),"",'Services - NHC'!F132)</f>
        <v/>
      </c>
      <c r="G285" s="191">
        <f>IF('Revenue - Base year'!V134="","",'Revenue - Base year'!V134)</f>
        <v>0</v>
      </c>
      <c r="H285" s="191">
        <f t="shared" si="48"/>
        <v>0</v>
      </c>
      <c r="I285" s="191">
        <f>IF('Expenditure - Base year'!R133="","",'Expenditure - Base year'!R133)</f>
        <v>0</v>
      </c>
      <c r="J285" s="190">
        <f t="shared" si="49"/>
        <v>0</v>
      </c>
      <c r="K285" s="207">
        <f t="shared" si="50"/>
        <v>0</v>
      </c>
      <c r="L285" s="211">
        <f t="shared" si="51"/>
        <v>0</v>
      </c>
      <c r="M285" s="205"/>
      <c r="N285" s="206"/>
    </row>
    <row r="286" spans="3:14" hidden="1" outlineLevel="1" x14ac:dyDescent="0.2">
      <c r="C286" s="13"/>
      <c r="D286" s="19">
        <f t="shared" si="52"/>
        <v>124</v>
      </c>
      <c r="E286" s="178" t="str">
        <f>IF(OR('Services - NHC'!E133="",'Services - NHC'!E133="[Enter service]"),"",'Services - NHC'!E133)</f>
        <v/>
      </c>
      <c r="F286" s="179" t="str">
        <f>IF(OR('Services - NHC'!F133="",'Services - NHC'!F133="[Select]"),"",'Services - NHC'!F133)</f>
        <v/>
      </c>
      <c r="G286" s="191">
        <f>IF('Revenue - Base year'!V135="","",'Revenue - Base year'!V135)</f>
        <v>0</v>
      </c>
      <c r="H286" s="191">
        <f t="shared" si="48"/>
        <v>0</v>
      </c>
      <c r="I286" s="191">
        <f>IF('Expenditure - Base year'!R134="","",'Expenditure - Base year'!R134)</f>
        <v>0</v>
      </c>
      <c r="J286" s="190">
        <f t="shared" si="49"/>
        <v>0</v>
      </c>
      <c r="K286" s="207">
        <f t="shared" si="50"/>
        <v>0</v>
      </c>
      <c r="L286" s="211">
        <f t="shared" si="51"/>
        <v>0</v>
      </c>
      <c r="M286" s="205"/>
      <c r="N286" s="206"/>
    </row>
    <row r="287" spans="3:14" hidden="1" outlineLevel="1" x14ac:dyDescent="0.2">
      <c r="C287" s="13"/>
      <c r="D287" s="19">
        <f t="shared" si="52"/>
        <v>125</v>
      </c>
      <c r="E287" s="178" t="str">
        <f>IF(OR('Services - NHC'!E134="",'Services - NHC'!E134="[Enter service]"),"",'Services - NHC'!E134)</f>
        <v/>
      </c>
      <c r="F287" s="179" t="str">
        <f>IF(OR('Services - NHC'!F134="",'Services - NHC'!F134="[Select]"),"",'Services - NHC'!F134)</f>
        <v/>
      </c>
      <c r="G287" s="191">
        <f>IF('Revenue - Base year'!V136="","",'Revenue - Base year'!V136)</f>
        <v>0</v>
      </c>
      <c r="H287" s="191">
        <f t="shared" si="48"/>
        <v>0</v>
      </c>
      <c r="I287" s="191">
        <f>IF('Expenditure - Base year'!R135="","",'Expenditure - Base year'!R135)</f>
        <v>0</v>
      </c>
      <c r="J287" s="190">
        <f t="shared" si="49"/>
        <v>0</v>
      </c>
      <c r="K287" s="207">
        <f t="shared" si="50"/>
        <v>0</v>
      </c>
      <c r="L287" s="211">
        <f t="shared" si="51"/>
        <v>0</v>
      </c>
      <c r="M287" s="205"/>
      <c r="N287" s="206"/>
    </row>
    <row r="288" spans="3:14" hidden="1" outlineLevel="1" x14ac:dyDescent="0.2">
      <c r="C288" s="13"/>
      <c r="D288" s="19">
        <f t="shared" si="52"/>
        <v>126</v>
      </c>
      <c r="E288" s="178" t="str">
        <f>IF(OR('Services - NHC'!E135="",'Services - NHC'!E135="[Enter service]"),"",'Services - NHC'!E135)</f>
        <v/>
      </c>
      <c r="F288" s="179" t="str">
        <f>IF(OR('Services - NHC'!F135="",'Services - NHC'!F135="[Select]"),"",'Services - NHC'!F135)</f>
        <v/>
      </c>
      <c r="G288" s="191">
        <f>IF('Revenue - Base year'!V137="","",'Revenue - Base year'!V137)</f>
        <v>0</v>
      </c>
      <c r="H288" s="191">
        <f t="shared" si="48"/>
        <v>0</v>
      </c>
      <c r="I288" s="191">
        <f>IF('Expenditure - Base year'!R136="","",'Expenditure - Base year'!R136)</f>
        <v>0</v>
      </c>
      <c r="J288" s="190">
        <f t="shared" si="49"/>
        <v>0</v>
      </c>
      <c r="K288" s="207">
        <f t="shared" si="50"/>
        <v>0</v>
      </c>
      <c r="L288" s="211">
        <f t="shared" si="51"/>
        <v>0</v>
      </c>
      <c r="M288" s="205"/>
      <c r="N288" s="206"/>
    </row>
    <row r="289" spans="3:14" hidden="1" outlineLevel="1" x14ac:dyDescent="0.2">
      <c r="C289" s="13"/>
      <c r="D289" s="19">
        <f t="shared" si="52"/>
        <v>127</v>
      </c>
      <c r="E289" s="178" t="str">
        <f>IF(OR('Services - NHC'!E136="",'Services - NHC'!E136="[Enter service]"),"",'Services - NHC'!E136)</f>
        <v/>
      </c>
      <c r="F289" s="179" t="str">
        <f>IF(OR('Services - NHC'!F136="",'Services - NHC'!F136="[Select]"),"",'Services - NHC'!F136)</f>
        <v/>
      </c>
      <c r="G289" s="191">
        <f>IF('Revenue - Base year'!V138="","",'Revenue - Base year'!V138)</f>
        <v>0</v>
      </c>
      <c r="H289" s="191">
        <f t="shared" si="48"/>
        <v>0</v>
      </c>
      <c r="I289" s="191">
        <f>IF('Expenditure - Base year'!R137="","",'Expenditure - Base year'!R137)</f>
        <v>0</v>
      </c>
      <c r="J289" s="190">
        <f t="shared" si="49"/>
        <v>0</v>
      </c>
      <c r="K289" s="207">
        <f t="shared" si="50"/>
        <v>0</v>
      </c>
      <c r="L289" s="211">
        <f t="shared" si="51"/>
        <v>0</v>
      </c>
      <c r="M289" s="205"/>
      <c r="N289" s="206"/>
    </row>
    <row r="290" spans="3:14" hidden="1" outlineLevel="1" x14ac:dyDescent="0.2">
      <c r="C290" s="13"/>
      <c r="D290" s="19">
        <f t="shared" si="52"/>
        <v>128</v>
      </c>
      <c r="E290" s="178" t="str">
        <f>IF(OR('Services - NHC'!E137="",'Services - NHC'!E137="[Enter service]"),"",'Services - NHC'!E137)</f>
        <v/>
      </c>
      <c r="F290" s="179" t="str">
        <f>IF(OR('Services - NHC'!F137="",'Services - NHC'!F137="[Select]"),"",'Services - NHC'!F137)</f>
        <v/>
      </c>
      <c r="G290" s="191">
        <f>IF('Revenue - Base year'!V139="","",'Revenue - Base year'!V139)</f>
        <v>0</v>
      </c>
      <c r="H290" s="191">
        <f t="shared" si="48"/>
        <v>0</v>
      </c>
      <c r="I290" s="191">
        <f>IF('Expenditure - Base year'!R138="","",'Expenditure - Base year'!R138)</f>
        <v>0</v>
      </c>
      <c r="J290" s="190">
        <f t="shared" si="49"/>
        <v>0</v>
      </c>
      <c r="K290" s="207">
        <f t="shared" si="50"/>
        <v>0</v>
      </c>
      <c r="L290" s="211">
        <f t="shared" si="51"/>
        <v>0</v>
      </c>
      <c r="M290" s="205"/>
      <c r="N290" s="206"/>
    </row>
    <row r="291" spans="3:14" hidden="1" outlineLevel="1" x14ac:dyDescent="0.2">
      <c r="C291" s="13"/>
      <c r="D291" s="19">
        <f t="shared" si="52"/>
        <v>129</v>
      </c>
      <c r="E291" s="178" t="str">
        <f>IF(OR('Services - NHC'!E138="",'Services - NHC'!E138="[Enter service]"),"",'Services - NHC'!E138)</f>
        <v/>
      </c>
      <c r="F291" s="179" t="str">
        <f>IF(OR('Services - NHC'!F138="",'Services - NHC'!F138="[Select]"),"",'Services - NHC'!F138)</f>
        <v/>
      </c>
      <c r="G291" s="191">
        <f>IF('Revenue - Base year'!V140="","",'Revenue - Base year'!V140)</f>
        <v>0</v>
      </c>
      <c r="H291" s="191">
        <f t="shared" si="48"/>
        <v>0</v>
      </c>
      <c r="I291" s="191">
        <f>IF('Expenditure - Base year'!R139="","",'Expenditure - Base year'!R139)</f>
        <v>0</v>
      </c>
      <c r="J291" s="190">
        <f t="shared" si="49"/>
        <v>0</v>
      </c>
      <c r="K291" s="207">
        <f t="shared" si="50"/>
        <v>0</v>
      </c>
      <c r="L291" s="211">
        <f t="shared" si="51"/>
        <v>0</v>
      </c>
      <c r="M291" s="205"/>
      <c r="N291" s="206"/>
    </row>
    <row r="292" spans="3:14" hidden="1" outlineLevel="1" x14ac:dyDescent="0.2">
      <c r="C292" s="13"/>
      <c r="D292" s="19">
        <f t="shared" si="52"/>
        <v>130</v>
      </c>
      <c r="E292" s="178" t="str">
        <f>IF(OR('Services - NHC'!E139="",'Services - NHC'!E139="[Enter service]"),"",'Services - NHC'!E139)</f>
        <v/>
      </c>
      <c r="F292" s="179" t="str">
        <f>IF(OR('Services - NHC'!F139="",'Services - NHC'!F139="[Select]"),"",'Services - NHC'!F139)</f>
        <v/>
      </c>
      <c r="G292" s="191">
        <f>IF('Revenue - Base year'!V141="","",'Revenue - Base year'!V141)</f>
        <v>0</v>
      </c>
      <c r="H292" s="191">
        <f t="shared" ref="H292:H304" si="53">H140</f>
        <v>0</v>
      </c>
      <c r="I292" s="191">
        <f>IF('Expenditure - Base year'!R140="","",'Expenditure - Base year'!R140)</f>
        <v>0</v>
      </c>
      <c r="J292" s="190">
        <f t="shared" ref="J292:J303" si="54">J140</f>
        <v>0</v>
      </c>
      <c r="K292" s="207">
        <f t="shared" ref="K292:K302" si="55">IFERROR(H292-G292,"")</f>
        <v>0</v>
      </c>
      <c r="L292" s="211">
        <f t="shared" ref="L292:L302" si="56">IFERROR(J292-I292,"")</f>
        <v>0</v>
      </c>
      <c r="M292" s="205"/>
      <c r="N292" s="206"/>
    </row>
    <row r="293" spans="3:14" hidden="1" outlineLevel="1" x14ac:dyDescent="0.2">
      <c r="C293" s="13"/>
      <c r="D293" s="19">
        <f t="shared" si="52"/>
        <v>131</v>
      </c>
      <c r="E293" s="178" t="str">
        <f>IF(OR('Services - NHC'!E140="",'Services - NHC'!E140="[Enter service]"),"",'Services - NHC'!E140)</f>
        <v/>
      </c>
      <c r="F293" s="179" t="str">
        <f>IF(OR('Services - NHC'!F140="",'Services - NHC'!F140="[Select]"),"",'Services - NHC'!F140)</f>
        <v/>
      </c>
      <c r="G293" s="191">
        <f>IF('Revenue - Base year'!V142="","",'Revenue - Base year'!V142)</f>
        <v>0</v>
      </c>
      <c r="H293" s="191">
        <f t="shared" si="53"/>
        <v>0</v>
      </c>
      <c r="I293" s="191">
        <f>IF('Expenditure - Base year'!R141="","",'Expenditure - Base year'!R141)</f>
        <v>0</v>
      </c>
      <c r="J293" s="190">
        <f t="shared" si="54"/>
        <v>0</v>
      </c>
      <c r="K293" s="207">
        <f t="shared" si="55"/>
        <v>0</v>
      </c>
      <c r="L293" s="211">
        <f t="shared" si="56"/>
        <v>0</v>
      </c>
      <c r="M293" s="205"/>
      <c r="N293" s="206"/>
    </row>
    <row r="294" spans="3:14" hidden="1" outlineLevel="1" x14ac:dyDescent="0.2">
      <c r="C294" s="13"/>
      <c r="D294" s="19">
        <f t="shared" si="52"/>
        <v>132</v>
      </c>
      <c r="E294" s="178" t="str">
        <f>IF(OR('Services - NHC'!E141="",'Services - NHC'!E141="[Enter service]"),"",'Services - NHC'!E141)</f>
        <v/>
      </c>
      <c r="F294" s="179" t="str">
        <f>IF(OR('Services - NHC'!F141="",'Services - NHC'!F141="[Select]"),"",'Services - NHC'!F141)</f>
        <v/>
      </c>
      <c r="G294" s="191">
        <f>IF('Revenue - Base year'!V143="","",'Revenue - Base year'!V143)</f>
        <v>0</v>
      </c>
      <c r="H294" s="191">
        <f t="shared" si="53"/>
        <v>0</v>
      </c>
      <c r="I294" s="191">
        <f>IF('Expenditure - Base year'!R142="","",'Expenditure - Base year'!R142)</f>
        <v>0</v>
      </c>
      <c r="J294" s="190">
        <f t="shared" si="54"/>
        <v>0</v>
      </c>
      <c r="K294" s="207">
        <f t="shared" si="55"/>
        <v>0</v>
      </c>
      <c r="L294" s="211">
        <f t="shared" si="56"/>
        <v>0</v>
      </c>
      <c r="M294" s="205"/>
      <c r="N294" s="206"/>
    </row>
    <row r="295" spans="3:14" hidden="1" outlineLevel="1" x14ac:dyDescent="0.2">
      <c r="C295" s="13"/>
      <c r="D295" s="19">
        <f t="shared" si="52"/>
        <v>133</v>
      </c>
      <c r="E295" s="178" t="str">
        <f>IF(OR('Services - NHC'!E142="",'Services - NHC'!E142="[Enter service]"),"",'Services - NHC'!E142)</f>
        <v/>
      </c>
      <c r="F295" s="179" t="str">
        <f>IF(OR('Services - NHC'!F142="",'Services - NHC'!F142="[Select]"),"",'Services - NHC'!F142)</f>
        <v/>
      </c>
      <c r="G295" s="191">
        <f>IF('Revenue - Base year'!V144="","",'Revenue - Base year'!V144)</f>
        <v>0</v>
      </c>
      <c r="H295" s="191">
        <f t="shared" si="53"/>
        <v>0</v>
      </c>
      <c r="I295" s="191">
        <f>IF('Expenditure - Base year'!R143="","",'Expenditure - Base year'!R143)</f>
        <v>0</v>
      </c>
      <c r="J295" s="190">
        <f t="shared" si="54"/>
        <v>0</v>
      </c>
      <c r="K295" s="207">
        <f t="shared" si="55"/>
        <v>0</v>
      </c>
      <c r="L295" s="211">
        <f t="shared" si="56"/>
        <v>0</v>
      </c>
      <c r="M295" s="205"/>
      <c r="N295" s="206"/>
    </row>
    <row r="296" spans="3:14" hidden="1" outlineLevel="1" x14ac:dyDescent="0.2">
      <c r="C296" s="13"/>
      <c r="D296" s="19">
        <f t="shared" ref="D296:D302" si="57">D295+1</f>
        <v>134</v>
      </c>
      <c r="E296" s="178" t="str">
        <f>IF(OR('Services - NHC'!E143="",'Services - NHC'!E143="[Enter service]"),"",'Services - NHC'!E143)</f>
        <v/>
      </c>
      <c r="F296" s="179" t="str">
        <f>IF(OR('Services - NHC'!F143="",'Services - NHC'!F143="[Select]"),"",'Services - NHC'!F143)</f>
        <v/>
      </c>
      <c r="G296" s="191">
        <f>IF('Revenue - Base year'!V145="","",'Revenue - Base year'!V145)</f>
        <v>0</v>
      </c>
      <c r="H296" s="191">
        <f t="shared" si="53"/>
        <v>0</v>
      </c>
      <c r="I296" s="191">
        <f>IF('Expenditure - Base year'!R144="","",'Expenditure - Base year'!R144)</f>
        <v>0</v>
      </c>
      <c r="J296" s="190">
        <f t="shared" si="54"/>
        <v>0</v>
      </c>
      <c r="K296" s="207">
        <f t="shared" si="55"/>
        <v>0</v>
      </c>
      <c r="L296" s="211">
        <f t="shared" si="56"/>
        <v>0</v>
      </c>
      <c r="M296" s="205"/>
      <c r="N296" s="206"/>
    </row>
    <row r="297" spans="3:14" hidden="1" outlineLevel="1" x14ac:dyDescent="0.2">
      <c r="C297" s="13"/>
      <c r="D297" s="19">
        <f t="shared" si="57"/>
        <v>135</v>
      </c>
      <c r="E297" s="178" t="str">
        <f>IF(OR('Services - NHC'!E144="",'Services - NHC'!E144="[Enter service]"),"",'Services - NHC'!E144)</f>
        <v/>
      </c>
      <c r="F297" s="179" t="str">
        <f>IF(OR('Services - NHC'!F144="",'Services - NHC'!F144="[Select]"),"",'Services - NHC'!F144)</f>
        <v/>
      </c>
      <c r="G297" s="191">
        <f>IF('Revenue - Base year'!V146="","",'Revenue - Base year'!V146)</f>
        <v>0</v>
      </c>
      <c r="H297" s="191">
        <f t="shared" si="53"/>
        <v>0</v>
      </c>
      <c r="I297" s="191">
        <f>IF('Expenditure - Base year'!R145="","",'Expenditure - Base year'!R145)</f>
        <v>0</v>
      </c>
      <c r="J297" s="190">
        <f t="shared" si="54"/>
        <v>0</v>
      </c>
      <c r="K297" s="207">
        <f t="shared" si="55"/>
        <v>0</v>
      </c>
      <c r="L297" s="211">
        <f t="shared" si="56"/>
        <v>0</v>
      </c>
      <c r="M297" s="205"/>
      <c r="N297" s="206"/>
    </row>
    <row r="298" spans="3:14" hidden="1" outlineLevel="1" x14ac:dyDescent="0.2">
      <c r="C298" s="13"/>
      <c r="D298" s="19">
        <f t="shared" si="57"/>
        <v>136</v>
      </c>
      <c r="E298" s="178" t="str">
        <f>IF(OR('Services - NHC'!E145="",'Services - NHC'!E145="[Enter service]"),"",'Services - NHC'!E145)</f>
        <v/>
      </c>
      <c r="F298" s="179" t="str">
        <f>IF(OR('Services - NHC'!F145="",'Services - NHC'!F145="[Select]"),"",'Services - NHC'!F145)</f>
        <v/>
      </c>
      <c r="G298" s="191">
        <f>IF('Revenue - Base year'!V147="","",'Revenue - Base year'!V147)</f>
        <v>0</v>
      </c>
      <c r="H298" s="191">
        <f t="shared" si="53"/>
        <v>0</v>
      </c>
      <c r="I298" s="191">
        <f>IF('Expenditure - Base year'!R146="","",'Expenditure - Base year'!R146)</f>
        <v>0</v>
      </c>
      <c r="J298" s="190">
        <f t="shared" si="54"/>
        <v>0</v>
      </c>
      <c r="K298" s="207">
        <f t="shared" si="55"/>
        <v>0</v>
      </c>
      <c r="L298" s="211">
        <f t="shared" si="56"/>
        <v>0</v>
      </c>
      <c r="M298" s="205"/>
      <c r="N298" s="206"/>
    </row>
    <row r="299" spans="3:14" hidden="1" outlineLevel="1" x14ac:dyDescent="0.2">
      <c r="C299" s="13"/>
      <c r="D299" s="19">
        <f t="shared" si="57"/>
        <v>137</v>
      </c>
      <c r="E299" s="178" t="str">
        <f>IF(OR('Services - NHC'!E146="",'Services - NHC'!E146="[Enter service]"),"",'Services - NHC'!E146)</f>
        <v/>
      </c>
      <c r="F299" s="179" t="str">
        <f>IF(OR('Services - NHC'!F146="",'Services - NHC'!F146="[Select]"),"",'Services - NHC'!F146)</f>
        <v/>
      </c>
      <c r="G299" s="191">
        <f>IF('Revenue - Base year'!V148="","",'Revenue - Base year'!V148)</f>
        <v>0</v>
      </c>
      <c r="H299" s="191">
        <f t="shared" si="53"/>
        <v>0</v>
      </c>
      <c r="I299" s="191">
        <f>IF('Expenditure - Base year'!R147="","",'Expenditure - Base year'!R147)</f>
        <v>0</v>
      </c>
      <c r="J299" s="190">
        <f t="shared" si="54"/>
        <v>0</v>
      </c>
      <c r="K299" s="207">
        <f t="shared" si="55"/>
        <v>0</v>
      </c>
      <c r="L299" s="211">
        <f t="shared" si="56"/>
        <v>0</v>
      </c>
      <c r="M299" s="205"/>
      <c r="N299" s="206"/>
    </row>
    <row r="300" spans="3:14" hidden="1" outlineLevel="1" x14ac:dyDescent="0.2">
      <c r="C300" s="13"/>
      <c r="D300" s="19">
        <f t="shared" si="57"/>
        <v>138</v>
      </c>
      <c r="E300" s="178" t="str">
        <f>IF(OR('Services - NHC'!E147="",'Services - NHC'!E147="[Enter service]"),"",'Services - NHC'!E147)</f>
        <v/>
      </c>
      <c r="F300" s="179" t="str">
        <f>IF(OR('Services - NHC'!F147="",'Services - NHC'!F147="[Select]"),"",'Services - NHC'!F147)</f>
        <v/>
      </c>
      <c r="G300" s="191">
        <f>IF('Revenue - Base year'!V149="","",'Revenue - Base year'!V149)</f>
        <v>0</v>
      </c>
      <c r="H300" s="191">
        <f t="shared" si="53"/>
        <v>0</v>
      </c>
      <c r="I300" s="191">
        <f>IF('Expenditure - Base year'!R148="","",'Expenditure - Base year'!R148)</f>
        <v>0</v>
      </c>
      <c r="J300" s="190">
        <f t="shared" si="54"/>
        <v>0</v>
      </c>
      <c r="K300" s="207">
        <f t="shared" si="55"/>
        <v>0</v>
      </c>
      <c r="L300" s="211">
        <f t="shared" si="56"/>
        <v>0</v>
      </c>
      <c r="M300" s="205"/>
      <c r="N300" s="206"/>
    </row>
    <row r="301" spans="3:14" hidden="1" outlineLevel="1" x14ac:dyDescent="0.2">
      <c r="C301" s="13"/>
      <c r="D301" s="19">
        <f t="shared" si="57"/>
        <v>139</v>
      </c>
      <c r="E301" s="178" t="str">
        <f>IF(OR('Services - NHC'!E148="",'Services - NHC'!E148="[Enter service]"),"",'Services - NHC'!E148)</f>
        <v/>
      </c>
      <c r="F301" s="179" t="str">
        <f>IF(OR('Services - NHC'!F148="",'Services - NHC'!F148="[Select]"),"",'Services - NHC'!F148)</f>
        <v/>
      </c>
      <c r="G301" s="191">
        <f>IF('Revenue - Base year'!V150="","",'Revenue - Base year'!V150)</f>
        <v>0</v>
      </c>
      <c r="H301" s="191">
        <f t="shared" si="53"/>
        <v>0</v>
      </c>
      <c r="I301" s="191">
        <f>IF('Expenditure - Base year'!R149="","",'Expenditure - Base year'!R149)</f>
        <v>0</v>
      </c>
      <c r="J301" s="190">
        <f t="shared" si="54"/>
        <v>0</v>
      </c>
      <c r="K301" s="207">
        <f t="shared" si="55"/>
        <v>0</v>
      </c>
      <c r="L301" s="211">
        <f t="shared" si="56"/>
        <v>0</v>
      </c>
      <c r="M301" s="205"/>
      <c r="N301" s="206"/>
    </row>
    <row r="302" spans="3:14" hidden="1" outlineLevel="1" x14ac:dyDescent="0.2">
      <c r="C302" s="13"/>
      <c r="D302" s="19">
        <f t="shared" si="57"/>
        <v>140</v>
      </c>
      <c r="E302" s="178" t="str">
        <f>IF(OR('Services - NHC'!E149="",'Services - NHC'!E149="[Enter service]"),"",'Services - NHC'!E149)</f>
        <v/>
      </c>
      <c r="F302" s="179" t="str">
        <f>IF(OR('Services - NHC'!F149="",'Services - NHC'!F149="[Select]"),"",'Services - NHC'!F149)</f>
        <v/>
      </c>
      <c r="G302" s="191">
        <f>IF('Revenue - Base year'!V151="","",'Revenue - Base year'!V151)</f>
        <v>0</v>
      </c>
      <c r="H302" s="191">
        <f t="shared" si="53"/>
        <v>0</v>
      </c>
      <c r="I302" s="191">
        <f>IF('Expenditure - Base year'!R150="","",'Expenditure - Base year'!R150)</f>
        <v>0</v>
      </c>
      <c r="J302" s="190">
        <f t="shared" si="54"/>
        <v>0</v>
      </c>
      <c r="K302" s="207">
        <f t="shared" si="55"/>
        <v>0</v>
      </c>
      <c r="L302" s="211">
        <f t="shared" si="56"/>
        <v>0</v>
      </c>
      <c r="M302" s="205"/>
      <c r="N302" s="206"/>
    </row>
    <row r="303" spans="3:14" collapsed="1" x14ac:dyDescent="0.2">
      <c r="C303" s="13"/>
      <c r="D303" s="19"/>
      <c r="E303" s="178" t="str">
        <f>'Revenue - NHC'!E152</f>
        <v>Other</v>
      </c>
      <c r="F303" s="179" t="str">
        <f>IF(OR('Services - NHC'!F150="",'Services - NHC'!F150="[Select]"),"",'Services - NHC'!F150)</f>
        <v/>
      </c>
      <c r="G303" s="191">
        <f>IF('Revenue - Base year'!V152="","",'Revenue - Base year'!V152)</f>
        <v>0</v>
      </c>
      <c r="H303" s="191">
        <f t="shared" si="53"/>
        <v>0</v>
      </c>
      <c r="I303" s="191">
        <f>IF('Expenditure - Base year'!R151="","",'Expenditure - Base year'!R151)</f>
        <v>0</v>
      </c>
      <c r="J303" s="190">
        <f t="shared" si="54"/>
        <v>0</v>
      </c>
      <c r="K303" s="207">
        <f>IFERROR(H303-G303,"")</f>
        <v>0</v>
      </c>
      <c r="L303" s="211">
        <f>IFERROR(J303-I303,"")</f>
        <v>0</v>
      </c>
      <c r="M303" s="205"/>
      <c r="N303" s="206"/>
    </row>
    <row r="304" spans="3:14" x14ac:dyDescent="0.2">
      <c r="C304" s="13"/>
      <c r="D304" s="19"/>
      <c r="E304" s="180" t="s">
        <v>159</v>
      </c>
      <c r="F304" s="181" t="str">
        <f>IF(OR('Services - NHC'!F151="",'Services - NHC'!F151="[Select]"),"",'Services - NHC'!F151)</f>
        <v/>
      </c>
      <c r="G304" s="192" t="str">
        <f>IF('Revenue - Base year'!U153="","",'Revenue - Base year'!U153)</f>
        <v/>
      </c>
      <c r="H304" s="192" t="str">
        <f t="shared" si="53"/>
        <v/>
      </c>
      <c r="I304" s="201"/>
      <c r="J304" s="202"/>
      <c r="K304" s="212" t="str">
        <f>IFERROR(H304-G304,"")</f>
        <v/>
      </c>
      <c r="L304" s="213"/>
      <c r="M304" s="205"/>
      <c r="N304" s="206"/>
    </row>
    <row r="305" spans="3:14" x14ac:dyDescent="0.2">
      <c r="C305" s="13"/>
      <c r="D305" s="19"/>
      <c r="E305" s="81"/>
      <c r="F305" s="55" t="s">
        <v>87</v>
      </c>
      <c r="G305" s="193">
        <f t="shared" ref="G305:L305" si="58">SUM(G163:G304)</f>
        <v>3255899.07</v>
      </c>
      <c r="H305" s="193">
        <f t="shared" si="58"/>
        <v>5958081.0621519536</v>
      </c>
      <c r="I305" s="193">
        <f t="shared" si="58"/>
        <v>10281101.201236364</v>
      </c>
      <c r="J305" s="193">
        <f t="shared" si="58"/>
        <v>10948942.583549999</v>
      </c>
      <c r="K305" s="214">
        <f t="shared" si="58"/>
        <v>2702181.9921519533</v>
      </c>
      <c r="L305" s="214">
        <f t="shared" si="58"/>
        <v>667841.3823136359</v>
      </c>
      <c r="M305" s="205"/>
      <c r="N305" s="206"/>
    </row>
    <row r="306" spans="3:14" ht="13.5" thickBot="1" x14ac:dyDescent="0.25">
      <c r="C306" s="32"/>
      <c r="D306" s="33"/>
      <c r="E306" s="82"/>
      <c r="F306" s="56"/>
      <c r="G306" s="90"/>
      <c r="H306" s="173"/>
      <c r="I306" s="173"/>
      <c r="J306" s="93"/>
      <c r="K306" s="175"/>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2" orientation="landscape" r:id="rId1"/>
  <ignoredErrors>
    <ignoredError sqref="AD24:AH24 AD18:AH18 I163:I3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AF1152"/>
  <sheetViews>
    <sheetView tabSelected="1" zoomScale="70" zoomScaleNormal="70" zoomScalePageLayoutView="85" workbookViewId="0">
      <pane ySplit="5" topLeftCell="A65" activePane="bottomLeft" state="frozen"/>
      <selection pane="bottomLeft" activeCell="F108" sqref="F108"/>
    </sheetView>
  </sheetViews>
  <sheetFormatPr defaultColWidth="0" defaultRowHeight="14.25" zeroHeight="1" x14ac:dyDescent="0.2"/>
  <cols>
    <col min="1" max="1" width="2.5" style="270" customWidth="1"/>
    <col min="2" max="2" width="86.1640625" style="270" customWidth="1"/>
    <col min="3" max="3" width="21.1640625" style="280" customWidth="1"/>
    <col min="4" max="4" width="21.1640625" style="281" customWidth="1"/>
    <col min="5" max="13" width="21.1640625" style="271" customWidth="1"/>
    <col min="14" max="14" width="1.1640625" style="271" customWidth="1"/>
    <col min="15" max="15" width="1.1640625" style="273" customWidth="1"/>
    <col min="16" max="16" width="13" style="270" hidden="1" customWidth="1"/>
    <col min="17" max="18" width="13" style="274" hidden="1" customWidth="1"/>
    <col min="19" max="19" width="13" style="270" hidden="1" customWidth="1"/>
    <col min="20" max="20" width="34.1640625" style="270" hidden="1" customWidth="1"/>
    <col min="21" max="21" width="13.33203125" style="270" hidden="1" customWidth="1"/>
    <col min="22" max="32" width="13" style="270" hidden="1" customWidth="1"/>
    <col min="33" max="16384" width="0" style="270" hidden="1"/>
  </cols>
  <sheetData>
    <row r="1" spans="1:18" s="225" customFormat="1" x14ac:dyDescent="0.2">
      <c r="C1" s="226"/>
      <c r="D1" s="227"/>
      <c r="E1" s="228"/>
      <c r="F1" s="228"/>
      <c r="G1" s="228"/>
      <c r="H1" s="228"/>
      <c r="I1" s="228"/>
      <c r="J1" s="228"/>
      <c r="K1" s="228"/>
      <c r="L1" s="228"/>
      <c r="M1" s="228"/>
      <c r="N1" s="228"/>
      <c r="O1" s="229"/>
      <c r="Q1" s="230"/>
      <c r="R1" s="230"/>
    </row>
    <row r="2" spans="1:18" s="384" customFormat="1" ht="21" customHeight="1" x14ac:dyDescent="0.2">
      <c r="B2" s="687" t="s">
        <v>469</v>
      </c>
      <c r="N2" s="385"/>
      <c r="O2" s="227"/>
    </row>
    <row r="3" spans="1:18" s="225" customFormat="1" x14ac:dyDescent="0.2">
      <c r="B3" s="225" t="str">
        <f>'Revenue - WHC'!B3</f>
        <v>Queenscliffe (B)</v>
      </c>
      <c r="C3" s="226" t="s">
        <v>268</v>
      </c>
      <c r="D3" s="227" t="s">
        <v>244</v>
      </c>
      <c r="E3" s="226" t="s">
        <v>245</v>
      </c>
      <c r="F3" s="226" t="s">
        <v>245</v>
      </c>
      <c r="G3" s="226" t="s">
        <v>245</v>
      </c>
      <c r="H3" s="226" t="s">
        <v>246</v>
      </c>
      <c r="I3" s="226" t="s">
        <v>246</v>
      </c>
      <c r="J3" s="226" t="s">
        <v>246</v>
      </c>
      <c r="K3" s="226" t="s">
        <v>246</v>
      </c>
      <c r="L3" s="226" t="s">
        <v>246</v>
      </c>
      <c r="M3" s="226" t="s">
        <v>246</v>
      </c>
    </row>
    <row r="4" spans="1:18" s="225" customFormat="1" x14ac:dyDescent="0.2">
      <c r="C4" s="268" t="str">
        <f>' Instructions'!C9</f>
        <v>2016-17</v>
      </c>
      <c r="D4" s="268" t="str">
        <f>VLOOKUP(' Instructions'!C9,' Instructions'!Q9:AG15,2,FALSE)</f>
        <v>2017-18</v>
      </c>
      <c r="E4" s="268" t="str">
        <f>VLOOKUP(' Instructions'!C9,' Instructions'!Q9:AG15,3,FALSE)</f>
        <v>2018-19</v>
      </c>
      <c r="F4" s="268" t="str">
        <f>VLOOKUP(' Instructions'!C9,' Instructions'!Q9:AG15,4,FALSE)</f>
        <v>2019-20</v>
      </c>
      <c r="G4" s="268" t="str">
        <f>VLOOKUP(' Instructions'!C9,' Instructions'!Q9:AG15,5,FALSE)</f>
        <v>2020-21</v>
      </c>
      <c r="H4" s="268" t="str">
        <f>VLOOKUP(' Instructions'!C9,' Instructions'!Q9:AG15,6,FALSE)</f>
        <v>2021-22</v>
      </c>
      <c r="I4" s="268" t="str">
        <f>VLOOKUP(' Instructions'!C9,' Instructions'!Q9:AG15,7,FALSE)</f>
        <v>2022-23</v>
      </c>
      <c r="J4" s="268" t="str">
        <f>VLOOKUP(' Instructions'!C9,' Instructions'!Q9:AG15,8,FALSE)</f>
        <v>2023-24</v>
      </c>
      <c r="K4" s="268" t="str">
        <f>VLOOKUP(' Instructions'!C9,' Instructions'!Q9:AG15,9,FALSE)</f>
        <v>2024-25</v>
      </c>
      <c r="L4" s="268" t="str">
        <f>VLOOKUP(' Instructions'!C9,' Instructions'!Q9:AG15,10,FALSE)</f>
        <v>2025-26</v>
      </c>
      <c r="M4" s="268" t="str">
        <f>VLOOKUP(' Instructions'!C9,' Instructions'!Q9:AG15,11,FALSE)</f>
        <v>2026-27</v>
      </c>
    </row>
    <row r="5" spans="1:18" s="225" customFormat="1" ht="6" customHeight="1" x14ac:dyDescent="0.2"/>
    <row r="6" spans="1:18" ht="6" customHeight="1" x14ac:dyDescent="0.2">
      <c r="C6" s="270"/>
      <c r="D6" s="270"/>
      <c r="E6" s="270"/>
      <c r="F6" s="270"/>
      <c r="G6" s="270"/>
      <c r="H6" s="270"/>
      <c r="I6" s="270"/>
      <c r="J6" s="270"/>
      <c r="K6" s="270"/>
      <c r="L6" s="270"/>
      <c r="M6" s="270"/>
      <c r="N6" s="270"/>
      <c r="O6" s="270"/>
      <c r="Q6" s="270"/>
      <c r="R6" s="270"/>
    </row>
    <row r="7" spans="1:18" ht="6" customHeight="1" x14ac:dyDescent="0.2">
      <c r="C7" s="270"/>
      <c r="D7" s="270"/>
      <c r="E7" s="270"/>
      <c r="F7" s="270"/>
      <c r="G7" s="270"/>
      <c r="H7" s="270"/>
      <c r="I7" s="270"/>
      <c r="J7" s="270"/>
      <c r="K7" s="270"/>
      <c r="L7" s="270"/>
      <c r="M7" s="270"/>
      <c r="N7" s="270"/>
      <c r="O7" s="270"/>
      <c r="Q7" s="270"/>
      <c r="R7" s="270"/>
    </row>
    <row r="8" spans="1:18" s="225" customFormat="1" ht="22.5" customHeight="1" x14ac:dyDescent="0.25">
      <c r="A8" s="270"/>
      <c r="B8" s="338" t="s">
        <v>247</v>
      </c>
      <c r="C8" s="270"/>
      <c r="D8" s="670"/>
      <c r="E8" s="670"/>
      <c r="F8" s="670"/>
      <c r="G8" s="670"/>
      <c r="H8" s="270"/>
      <c r="I8" s="270"/>
      <c r="J8" s="270"/>
      <c r="K8" s="270"/>
      <c r="L8" s="270"/>
      <c r="M8" s="270"/>
      <c r="N8" s="270"/>
      <c r="O8" s="270"/>
      <c r="P8" s="270"/>
      <c r="Q8" s="270"/>
      <c r="R8" s="270"/>
    </row>
    <row r="9" spans="1:18" s="225" customFormat="1" ht="12.75" customHeight="1" x14ac:dyDescent="0.2">
      <c r="A9" s="270"/>
      <c r="B9" s="270"/>
      <c r="C9" s="270"/>
      <c r="D9" s="670"/>
      <c r="E9" s="670"/>
      <c r="F9" s="670"/>
      <c r="G9" s="670"/>
      <c r="H9" s="270"/>
      <c r="I9" s="270"/>
      <c r="J9" s="270"/>
      <c r="K9" s="270"/>
      <c r="L9" s="270"/>
      <c r="M9" s="270"/>
      <c r="N9" s="270"/>
      <c r="O9" s="270"/>
      <c r="P9" s="270"/>
      <c r="Q9" s="270"/>
      <c r="R9" s="270"/>
    </row>
    <row r="10" spans="1:18" s="225" customFormat="1" ht="12.75" customHeight="1" x14ac:dyDescent="0.2">
      <c r="A10" s="270"/>
      <c r="B10" s="363" t="s">
        <v>159</v>
      </c>
      <c r="C10" s="364"/>
      <c r="D10" s="364"/>
      <c r="E10" s="364"/>
      <c r="F10" s="364"/>
      <c r="G10" s="365"/>
      <c r="H10" s="363"/>
      <c r="I10" s="364"/>
      <c r="J10" s="364"/>
      <c r="K10" s="364"/>
      <c r="L10" s="364"/>
      <c r="M10" s="365"/>
      <c r="N10" s="270"/>
      <c r="O10" s="270"/>
      <c r="P10" s="270"/>
      <c r="Q10" s="270"/>
      <c r="R10" s="270"/>
    </row>
    <row r="11" spans="1:18" s="225" customFormat="1" ht="12.75" customHeight="1" x14ac:dyDescent="0.2">
      <c r="A11" s="270"/>
      <c r="B11" s="366" t="s">
        <v>146</v>
      </c>
      <c r="C11" s="356">
        <f>-SUM('[4]ESC Rates &amp; Charges'!$B$7:$B$9,GETPIVOTDATA("Sum of 2016/17",'[4]ESC Rates &amp; Charges'!$A$3,"ACCOUNT NAME","Additional rate revenue if 2.5% rate cap variation approved for 2017/18 year","Stat of Inc &amp; Exp (Available Cash)","Rates and charges - additional"))</f>
        <v>5965599.9000000004</v>
      </c>
      <c r="D11" s="356">
        <f>-SUM('[4]ESC Rates &amp; Charges'!$C$7:$C$9,GETPIVOTDATA("Sum of 2017/18",'[4]ESC Rates &amp; Charges'!$A$3,"ACCOUNT NAME","Additional rate revenue if 2.5% rate cap variation approved for 2017/18 year","Stat of Inc &amp; Exp (Available Cash)","Rates and charges - additional"))</f>
        <v>6254422</v>
      </c>
      <c r="E11" s="356">
        <f>-SUM('[4]ESC Rates &amp; Charges'!$D$7:$D$9,GETPIVOTDATA("Sum of 2018/19",'[4]ESC Rates &amp; Charges'!$A$3,"ACCOUNT NAME","Additional rate revenue if 2.5% rate cap variation approved for 2017/18 year","Stat of Inc &amp; Exp (Available Cash)","Rates and charges - additional"))</f>
        <v>6379519</v>
      </c>
      <c r="F11" s="356">
        <f>-SUM('[4]ESC Rates &amp; Charges'!$E$7:$E$9,GETPIVOTDATA("Sum of 2019/20",'[4]ESC Rates &amp; Charges'!$A$3,"ACCOUNT NAME","Additional rate revenue if 2.5% rate cap variation approved for 2017/18 year","Stat of Inc &amp; Exp (Available Cash)","Rates and charges - additional"))</f>
        <v>6507057</v>
      </c>
      <c r="G11" s="354">
        <f>-SUM('[4]ESC Rates &amp; Charges'!$F$7:$F$9,GETPIVOTDATA("Sum of 2020/21",'[4]ESC Rates &amp; Charges'!$A$3,"ACCOUNT NAME","Additional rate revenue if 2.5% rate cap variation approved for 2017/18 year","Stat of Inc &amp; Exp (Available Cash)","Rates and charges - additional"))</f>
        <v>6637286</v>
      </c>
      <c r="H11" s="372"/>
      <c r="I11" s="356"/>
      <c r="J11" s="356"/>
      <c r="K11" s="356"/>
      <c r="L11" s="356"/>
      <c r="M11" s="354"/>
      <c r="N11" s="270"/>
      <c r="O11" s="270"/>
      <c r="P11" s="270"/>
      <c r="Q11" s="270"/>
      <c r="R11" s="270"/>
    </row>
    <row r="12" spans="1:18" s="225" customFormat="1" ht="12.75" customHeight="1" x14ac:dyDescent="0.2">
      <c r="A12" s="270"/>
      <c r="B12" s="366" t="s">
        <v>147</v>
      </c>
      <c r="C12" s="356">
        <v>0</v>
      </c>
      <c r="D12" s="356">
        <v>0</v>
      </c>
      <c r="E12" s="356">
        <v>0</v>
      </c>
      <c r="F12" s="356">
        <v>0</v>
      </c>
      <c r="G12" s="354">
        <v>0</v>
      </c>
      <c r="H12" s="372"/>
      <c r="I12" s="356"/>
      <c r="J12" s="356"/>
      <c r="K12" s="356"/>
      <c r="L12" s="356"/>
      <c r="M12" s="354"/>
      <c r="N12" s="270"/>
      <c r="O12" s="270"/>
      <c r="P12" s="270"/>
      <c r="Q12" s="270"/>
      <c r="R12" s="270"/>
    </row>
    <row r="13" spans="1:18" s="225" customFormat="1" ht="12.75" customHeight="1" x14ac:dyDescent="0.2">
      <c r="A13" s="270"/>
      <c r="B13" s="367" t="s">
        <v>369</v>
      </c>
      <c r="C13" s="546">
        <f t="shared" ref="C13:M13" si="0">C11+C12</f>
        <v>5965599.9000000004</v>
      </c>
      <c r="D13" s="546">
        <f t="shared" si="0"/>
        <v>6254422</v>
      </c>
      <c r="E13" s="546">
        <f t="shared" si="0"/>
        <v>6379519</v>
      </c>
      <c r="F13" s="546">
        <f t="shared" si="0"/>
        <v>6507057</v>
      </c>
      <c r="G13" s="547">
        <f t="shared" si="0"/>
        <v>6637286</v>
      </c>
      <c r="H13" s="546">
        <f t="shared" si="0"/>
        <v>0</v>
      </c>
      <c r="I13" s="546">
        <f t="shared" si="0"/>
        <v>0</v>
      </c>
      <c r="J13" s="546">
        <f t="shared" si="0"/>
        <v>0</v>
      </c>
      <c r="K13" s="546">
        <f t="shared" si="0"/>
        <v>0</v>
      </c>
      <c r="L13" s="546">
        <f t="shared" si="0"/>
        <v>0</v>
      </c>
      <c r="M13" s="547">
        <f t="shared" si="0"/>
        <v>0</v>
      </c>
      <c r="N13" s="270"/>
      <c r="O13" s="270"/>
      <c r="P13" s="270"/>
      <c r="Q13" s="270"/>
      <c r="R13" s="270"/>
    </row>
    <row r="14" spans="1:18" s="225" customFormat="1" ht="12.75" customHeight="1" x14ac:dyDescent="0.2">
      <c r="A14" s="270"/>
      <c r="B14" s="366" t="s">
        <v>200</v>
      </c>
      <c r="C14" s="356">
        <f>'[10]15.5 Waste Mgt Costs &amp; Charges'!$J$35</f>
        <v>847878.75</v>
      </c>
      <c r="D14" s="356">
        <f>'[10]15.5 Waste Mgt Costs &amp; Charges'!$K$35</f>
        <v>868199.91578202404</v>
      </c>
      <c r="E14" s="356">
        <f>'[10]15.5 Waste Mgt Costs &amp; Charges'!$P$35</f>
        <v>890835.85633404111</v>
      </c>
      <c r="F14" s="356">
        <f>'[10]15.5 Waste Mgt Costs &amp; Charges'!$Q$35</f>
        <v>913891.40200990799</v>
      </c>
      <c r="G14" s="354">
        <f>'[10]15.5 Waste Mgt Costs &amp; Charges'!$R$35</f>
        <v>937750.09298004245</v>
      </c>
      <c r="H14" s="372"/>
      <c r="I14" s="356"/>
      <c r="J14" s="356"/>
      <c r="K14" s="356"/>
      <c r="L14" s="356"/>
      <c r="M14" s="354"/>
      <c r="N14" s="270"/>
      <c r="O14" s="270"/>
      <c r="P14" s="270"/>
      <c r="Q14" s="270"/>
      <c r="R14" s="270"/>
    </row>
    <row r="15" spans="1:18" s="225" customFormat="1" ht="12.75" customHeight="1" x14ac:dyDescent="0.2">
      <c r="A15" s="270"/>
      <c r="B15" s="366" t="s">
        <v>201</v>
      </c>
      <c r="C15" s="356">
        <v>0</v>
      </c>
      <c r="D15" s="356">
        <v>0</v>
      </c>
      <c r="E15" s="356">
        <v>0</v>
      </c>
      <c r="F15" s="356">
        <v>0</v>
      </c>
      <c r="G15" s="354">
        <v>0</v>
      </c>
      <c r="H15" s="372"/>
      <c r="I15" s="356"/>
      <c r="J15" s="356"/>
      <c r="K15" s="356"/>
      <c r="L15" s="356"/>
      <c r="M15" s="354"/>
      <c r="N15" s="270"/>
      <c r="O15" s="270"/>
      <c r="P15" s="270"/>
      <c r="Q15" s="270"/>
      <c r="R15" s="270"/>
    </row>
    <row r="16" spans="1:18" s="225" customFormat="1" ht="12.75" customHeight="1" x14ac:dyDescent="0.2">
      <c r="A16" s="270"/>
      <c r="B16" s="366" t="s">
        <v>202</v>
      </c>
      <c r="C16" s="356">
        <v>0</v>
      </c>
      <c r="D16" s="356">
        <v>0</v>
      </c>
      <c r="E16" s="356">
        <v>0</v>
      </c>
      <c r="F16" s="356">
        <v>0</v>
      </c>
      <c r="G16" s="354">
        <v>0</v>
      </c>
      <c r="H16" s="372"/>
      <c r="I16" s="356"/>
      <c r="J16" s="356"/>
      <c r="K16" s="356"/>
      <c r="L16" s="356"/>
      <c r="M16" s="354"/>
      <c r="N16" s="270"/>
      <c r="O16" s="270"/>
      <c r="P16" s="270"/>
      <c r="Q16" s="270"/>
      <c r="R16" s="270"/>
    </row>
    <row r="17" spans="1:18" s="225" customFormat="1" ht="12.75" customHeight="1" x14ac:dyDescent="0.2">
      <c r="A17" s="270"/>
      <c r="B17" s="366" t="s">
        <v>203</v>
      </c>
      <c r="C17" s="356">
        <f>-SUM(GETPIVOTDATA("Sum of 2016/17",'[4]ESC Rates &amp; Charges'!$A$3,"ACCOUNT NAME","Additional $40 pensioner concession offered by BOQ","Stat of Inc &amp; Exp (Available Cash)","Rates and charges"),GETPIVOTDATA("Sum of 2016/17",'[4]ESC Rates &amp; Charges'!$A$3,"ACCOUNT NAME","Rebate for properties of environmental interest meeting criteria in Council policy","Stat of Inc &amp; Exp (Available Cash)","Rates and charges"),'[4]ESC Rates &amp; Charges'!$B$16:$B$18)</f>
        <v>-11147.3</v>
      </c>
      <c r="D17" s="356">
        <f>-SUM(GETPIVOTDATA("Sum of 2017/18",'[4]ESC Rates &amp; Charges'!$A$3,"ACCOUNT NAME","Additional $40 pensioner concession offered by BOQ","Stat of Inc &amp; Exp (Available Cash)","Rates and charges"),GETPIVOTDATA("Sum of 2017/18",'[4]ESC Rates &amp; Charges'!$A$3,"ACCOUNT NAME","Rebate for properties of environmental interest meeting criteria in Council policy","Stat of Inc &amp; Exp (Available Cash)","Rates and charges"),'[4]ESC Rates &amp; Charges'!$C$16:$C$18)</f>
        <v>-9362</v>
      </c>
      <c r="E17" s="356">
        <f>-SUM(GETPIVOTDATA("Sum of 2018/19",'[4]ESC Rates &amp; Charges'!$A$3,"ACCOUNT NAME","Additional $40 pensioner concession offered by BOQ","Stat of Inc &amp; Exp (Available Cash)","Rates and charges"),GETPIVOTDATA("Sum of 2018/19",'[4]ESC Rates &amp; Charges'!$A$3,"ACCOUNT NAME","Rebate for properties of environmental interest meeting criteria in Council policy","Stat of Inc &amp; Exp (Available Cash)","Rates and charges"),'[4]ESC Rates &amp; Charges'!$D$16:$D$18)</f>
        <v>-9459</v>
      </c>
      <c r="F17" s="356">
        <f>-SUM(GETPIVOTDATA("Sum of 2019/20",'[4]ESC Rates &amp; Charges'!$A$3,"ACCOUNT NAME","Additional $40 pensioner concession offered by BOQ","Stat of Inc &amp; Exp (Available Cash)","Rates and charges"),GETPIVOTDATA("Sum of 2019/20",'[4]ESC Rates &amp; Charges'!$A$3,"ACCOUNT NAME","Rebate for properties of environmental interest meeting criteria in Council policy","Stat of Inc &amp; Exp (Available Cash)","Rates and charges"),'[4]ESC Rates &amp; Charges'!$E$16:$E$18)</f>
        <v>-9558</v>
      </c>
      <c r="G17" s="354">
        <f>-SUM(GETPIVOTDATA("Sum of 2020/21",'[4]ESC Rates &amp; Charges'!$A$3,"ACCOUNT NAME","Additional $40 pensioner concession offered by BOQ","Stat of Inc &amp; Exp (Available Cash)","Rates and charges"),GETPIVOTDATA("Sum of 2020/21",'[4]ESC Rates &amp; Charges'!$A$3,"ACCOUNT NAME","Rebate for properties of environmental interest meeting criteria in Council policy","Stat of Inc &amp; Exp (Available Cash)","Rates and charges"),'[4]ESC Rates &amp; Charges'!$F$16:$F$18)</f>
        <v>-9659</v>
      </c>
      <c r="H17" s="372"/>
      <c r="I17" s="356"/>
      <c r="J17" s="356"/>
      <c r="K17" s="356"/>
      <c r="L17" s="356"/>
      <c r="M17" s="354"/>
      <c r="N17" s="270"/>
      <c r="O17" s="270"/>
      <c r="P17" s="270"/>
      <c r="Q17" s="270"/>
      <c r="R17" s="270"/>
    </row>
    <row r="18" spans="1:18" s="225" customFormat="1" ht="12.75" customHeight="1" x14ac:dyDescent="0.2">
      <c r="A18" s="270"/>
      <c r="B18" s="366" t="s">
        <v>204</v>
      </c>
      <c r="C18" s="356">
        <f>-GETPIVOTDATA("Sum of 2016/17",'[4]ESC Rates &amp; Charges'!$A$3,"ACCOUNT NAME","Special Rates - Recreational &amp; Cultural","Stat of Inc &amp; Exp (Available Cash)","Rates and charges")</f>
        <v>3659.55</v>
      </c>
      <c r="D18" s="356">
        <f>-GETPIVOTDATA("Sum of 2017/18",'[4]ESC Rates &amp; Charges'!$A$3,"ACCOUNT NAME","Special Rates - Recreational &amp; Cultural","Stat of Inc &amp; Exp (Available Cash)","Rates and charges")</f>
        <v>3733</v>
      </c>
      <c r="E18" s="356">
        <f>-GETPIVOTDATA("Sum of 2018/19",'[4]ESC Rates &amp; Charges'!$A$3,"ACCOUNT NAME","Special Rates - Recreational &amp; Cultural","Stat of Inc &amp; Exp (Available Cash)","Rates and charges")</f>
        <v>3807</v>
      </c>
      <c r="F18" s="356">
        <f>-GETPIVOTDATA("Sum of 2019/20",'[4]ESC Rates &amp; Charges'!$A$3,"ACCOUNT NAME","Special Rates - Recreational &amp; Cultural","Stat of Inc &amp; Exp (Available Cash)","Rates and charges")</f>
        <v>3883</v>
      </c>
      <c r="G18" s="354">
        <f>-GETPIVOTDATA("Sum of 2020/21",'[4]ESC Rates &amp; Charges'!$A$3,"ACCOUNT NAME","Special Rates - Recreational &amp; Cultural","Stat of Inc &amp; Exp (Available Cash)","Rates and charges")</f>
        <v>3961</v>
      </c>
      <c r="H18" s="372"/>
      <c r="I18" s="356"/>
      <c r="J18" s="356"/>
      <c r="K18" s="356"/>
      <c r="L18" s="356"/>
      <c r="M18" s="354"/>
      <c r="N18" s="270"/>
      <c r="O18" s="270"/>
      <c r="P18" s="270"/>
      <c r="Q18" s="270"/>
      <c r="R18" s="270"/>
    </row>
    <row r="19" spans="1:18" s="225" customFormat="1" ht="12.75" customHeight="1" x14ac:dyDescent="0.2">
      <c r="A19" s="270"/>
      <c r="B19" s="366" t="s">
        <v>205</v>
      </c>
      <c r="C19" s="356">
        <v>0</v>
      </c>
      <c r="D19" s="356">
        <v>0</v>
      </c>
      <c r="E19" s="356">
        <v>0</v>
      </c>
      <c r="F19" s="356">
        <v>0</v>
      </c>
      <c r="G19" s="354">
        <v>0</v>
      </c>
      <c r="H19" s="372"/>
      <c r="I19" s="356"/>
      <c r="J19" s="356"/>
      <c r="K19" s="356"/>
      <c r="L19" s="356"/>
      <c r="M19" s="354"/>
      <c r="N19" s="270"/>
      <c r="O19" s="270"/>
      <c r="P19" s="270"/>
      <c r="Q19" s="270"/>
      <c r="R19" s="270"/>
    </row>
    <row r="20" spans="1:18" s="362" customFormat="1" ht="12.75" customHeight="1" x14ac:dyDescent="0.2">
      <c r="A20" s="337"/>
      <c r="B20" s="369" t="s">
        <v>206</v>
      </c>
      <c r="C20" s="370">
        <f t="shared" ref="C20:M20" si="1">SUM(C13:C19)</f>
        <v>6805990.9000000004</v>
      </c>
      <c r="D20" s="370">
        <f t="shared" si="1"/>
        <v>7116992.9157820242</v>
      </c>
      <c r="E20" s="370">
        <f t="shared" si="1"/>
        <v>7264702.8563340409</v>
      </c>
      <c r="F20" s="370">
        <f t="shared" si="1"/>
        <v>7415273.4020099081</v>
      </c>
      <c r="G20" s="371">
        <f t="shared" si="1"/>
        <v>7569338.0929800421</v>
      </c>
      <c r="H20" s="370">
        <f t="shared" si="1"/>
        <v>0</v>
      </c>
      <c r="I20" s="370">
        <f t="shared" si="1"/>
        <v>0</v>
      </c>
      <c r="J20" s="370">
        <f t="shared" si="1"/>
        <v>0</v>
      </c>
      <c r="K20" s="370">
        <f t="shared" si="1"/>
        <v>0</v>
      </c>
      <c r="L20" s="370">
        <f t="shared" si="1"/>
        <v>0</v>
      </c>
      <c r="M20" s="371">
        <f t="shared" si="1"/>
        <v>0</v>
      </c>
      <c r="N20" s="337"/>
      <c r="O20" s="337"/>
      <c r="P20" s="337"/>
      <c r="Q20" s="337"/>
      <c r="R20" s="337"/>
    </row>
    <row r="21" spans="1:18" s="225" customFormat="1" ht="12.75" customHeight="1" x14ac:dyDescent="0.2">
      <c r="A21" s="270"/>
      <c r="B21" s="272"/>
      <c r="C21" s="358"/>
      <c r="D21" s="358"/>
      <c r="E21" s="358"/>
      <c r="F21" s="358"/>
      <c r="G21" s="358"/>
      <c r="H21" s="358"/>
      <c r="I21" s="358"/>
      <c r="J21" s="358"/>
      <c r="K21" s="358"/>
      <c r="L21" s="358"/>
      <c r="M21" s="358"/>
      <c r="N21" s="270"/>
      <c r="O21" s="270"/>
      <c r="P21" s="270"/>
      <c r="Q21" s="270"/>
      <c r="R21" s="270"/>
    </row>
    <row r="22" spans="1:18" s="225" customFormat="1" ht="12.75" customHeight="1" x14ac:dyDescent="0.2">
      <c r="A22" s="270"/>
      <c r="B22" s="363" t="s">
        <v>248</v>
      </c>
      <c r="C22" s="375"/>
      <c r="D22" s="375"/>
      <c r="E22" s="375"/>
      <c r="F22" s="375"/>
      <c r="G22" s="376"/>
      <c r="H22" s="380"/>
      <c r="I22" s="375"/>
      <c r="J22" s="375"/>
      <c r="K22" s="375"/>
      <c r="L22" s="375"/>
      <c r="M22" s="376"/>
      <c r="N22" s="270"/>
      <c r="O22" s="270"/>
      <c r="P22" s="270"/>
      <c r="Q22" s="270"/>
      <c r="R22" s="270"/>
    </row>
    <row r="23" spans="1:18" s="225" customFormat="1" ht="12.75" customHeight="1" x14ac:dyDescent="0.2">
      <c r="A23" s="270"/>
      <c r="B23" s="366" t="s">
        <v>159</v>
      </c>
      <c r="C23" s="357">
        <f>C20</f>
        <v>6805990.9000000004</v>
      </c>
      <c r="D23" s="357">
        <f>D20</f>
        <v>7116992.9157820242</v>
      </c>
      <c r="E23" s="357">
        <f>E20</f>
        <v>7264702.8563340409</v>
      </c>
      <c r="F23" s="357">
        <f>F20</f>
        <v>7415273.4020099081</v>
      </c>
      <c r="G23" s="368">
        <f>G20</f>
        <v>7569338.0929800421</v>
      </c>
      <c r="H23" s="357">
        <f t="shared" ref="H23:M23" si="2">H20</f>
        <v>0</v>
      </c>
      <c r="I23" s="357">
        <f t="shared" si="2"/>
        <v>0</v>
      </c>
      <c r="J23" s="357">
        <f t="shared" si="2"/>
        <v>0</v>
      </c>
      <c r="K23" s="357">
        <f t="shared" si="2"/>
        <v>0</v>
      </c>
      <c r="L23" s="357">
        <f t="shared" si="2"/>
        <v>0</v>
      </c>
      <c r="M23" s="368">
        <f t="shared" si="2"/>
        <v>0</v>
      </c>
      <c r="N23" s="270"/>
      <c r="O23" s="270"/>
      <c r="P23" s="270"/>
      <c r="Q23" s="270"/>
      <c r="R23" s="270"/>
    </row>
    <row r="24" spans="1:18" s="225" customFormat="1" ht="12.75" customHeight="1" x14ac:dyDescent="0.2">
      <c r="A24" s="270"/>
      <c r="B24" s="366" t="s">
        <v>249</v>
      </c>
      <c r="C24" s="357">
        <f>'Revenue - Base year'!H153</f>
        <v>109023.45</v>
      </c>
      <c r="D24" s="357">
        <f>'Revenue - WHC'!H153</f>
        <v>108000</v>
      </c>
      <c r="E24" s="356">
        <f>-GETPIVOTDATA("Sum of 2018/19",'[4]ESC Stat Fees'!$A$3,"Stat of Inc &amp; Exp (Available Cash)","Statutory fees and fines")</f>
        <v>108000</v>
      </c>
      <c r="F24" s="356">
        <f>-GETPIVOTDATA("Sum of 2019/20",'[4]ESC Stat Fees'!$A$3,"Stat of Inc &amp; Exp (Available Cash)","Statutory fees and fines")</f>
        <v>108000</v>
      </c>
      <c r="G24" s="354">
        <f>-GETPIVOTDATA("Sum of 2020/21",'[4]ESC Stat Fees'!$A$3,"Stat of Inc &amp; Exp (Available Cash)","Statutory fees and fines")</f>
        <v>108000</v>
      </c>
      <c r="H24" s="372"/>
      <c r="I24" s="356"/>
      <c r="J24" s="356"/>
      <c r="K24" s="356"/>
      <c r="L24" s="356"/>
      <c r="M24" s="354"/>
      <c r="N24" s="270"/>
      <c r="O24" s="270"/>
      <c r="P24" s="270"/>
      <c r="Q24" s="270"/>
      <c r="R24" s="270"/>
    </row>
    <row r="25" spans="1:18" s="225" customFormat="1" ht="12.75" customHeight="1" x14ac:dyDescent="0.2">
      <c r="A25" s="270"/>
      <c r="B25" s="366" t="s">
        <v>74</v>
      </c>
      <c r="C25" s="357">
        <f>'Revenue - Base year'!I153</f>
        <v>2012779.17</v>
      </c>
      <c r="D25" s="357">
        <f>'Revenue - WHC'!I153</f>
        <v>1971730.0621519531</v>
      </c>
      <c r="E25" s="356">
        <f>-GETPIVOTDATA("Sum of 2018/19",'[4]ESC User Fees'!$A$3,"Stat of Inc &amp; Exp (Available Cash)","User fees and charges")</f>
        <v>1584146.9761110144</v>
      </c>
      <c r="F25" s="356">
        <f>-GETPIVOTDATA("Sum of 2019/20",'[4]ESC User Fees'!$A$3,"Stat of Inc &amp; Exp (Available Cash)","User fees and charges")</f>
        <v>2032346.1020339765</v>
      </c>
      <c r="G25" s="354">
        <f>-GETPIVOTDATA("Sum of 2020/21",'[4]ESC User Fees'!$A$3,"Stat of Inc &amp; Exp (Available Cash)","User fees and charges")</f>
        <v>2108741.9472859297</v>
      </c>
      <c r="H25" s="372"/>
      <c r="I25" s="356"/>
      <c r="J25" s="356"/>
      <c r="K25" s="356"/>
      <c r="L25" s="356"/>
      <c r="M25" s="354"/>
      <c r="N25" s="270"/>
      <c r="O25" s="270"/>
      <c r="P25" s="270"/>
      <c r="Q25" s="270"/>
      <c r="R25" s="270"/>
    </row>
    <row r="26" spans="1:18" s="225" customFormat="1" ht="12.75" customHeight="1" x14ac:dyDescent="0.2">
      <c r="A26" s="270"/>
      <c r="B26" s="366" t="s">
        <v>250</v>
      </c>
      <c r="C26" s="357">
        <f>SUM(C27:C28)</f>
        <v>869613.35</v>
      </c>
      <c r="D26" s="357">
        <f>SUM(D27:D28)</f>
        <v>778900</v>
      </c>
      <c r="E26" s="357">
        <f>SUM(E27:E28)</f>
        <v>777800</v>
      </c>
      <c r="F26" s="357">
        <f>SUM(F27:F28)</f>
        <v>779800</v>
      </c>
      <c r="G26" s="368">
        <f>SUM(G27:G28)</f>
        <v>781900</v>
      </c>
      <c r="H26" s="357">
        <f t="shared" ref="H26" si="3">SUM(H27:H28)</f>
        <v>0</v>
      </c>
      <c r="I26" s="357">
        <f t="shared" ref="I26:M26" si="4">SUM(I27:I28)</f>
        <v>0</v>
      </c>
      <c r="J26" s="357">
        <f t="shared" si="4"/>
        <v>0</v>
      </c>
      <c r="K26" s="357">
        <f t="shared" si="4"/>
        <v>0</v>
      </c>
      <c r="L26" s="357">
        <f t="shared" si="4"/>
        <v>0</v>
      </c>
      <c r="M26" s="368">
        <f t="shared" si="4"/>
        <v>0</v>
      </c>
      <c r="N26" s="270"/>
      <c r="O26" s="270"/>
      <c r="P26" s="270"/>
      <c r="Q26" s="270"/>
      <c r="R26" s="270"/>
    </row>
    <row r="27" spans="1:18" s="225" customFormat="1" ht="12.75" customHeight="1" x14ac:dyDescent="0.2">
      <c r="A27" s="270"/>
      <c r="B27" s="366" t="s">
        <v>303</v>
      </c>
      <c r="C27" s="357">
        <f>'Revenue - Base year'!J153</f>
        <v>774113.35</v>
      </c>
      <c r="D27" s="357">
        <f>'Revenue - WHC'!J153</f>
        <v>775900</v>
      </c>
      <c r="E27" s="356">
        <f>-GETPIVOTDATA("Sum of 2018/19",'[4]ESC Grants Op'!$A$3,"Stat of Inc &amp; Exp (Available Cash)","Grants - operating")</f>
        <v>777800</v>
      </c>
      <c r="F27" s="356">
        <f>-GETPIVOTDATA("Sum of 2019/20",'[4]ESC Grants Op'!$A$3,"Stat of Inc &amp; Exp (Available Cash)","Grants - operating")</f>
        <v>779800</v>
      </c>
      <c r="G27" s="354">
        <f>-GETPIVOTDATA("Sum of 2020/21",'[4]ESC Grants Op'!$A$3,"Stat of Inc &amp; Exp (Available Cash)","Grants - operating")</f>
        <v>781900</v>
      </c>
      <c r="H27" s="356"/>
      <c r="I27" s="356"/>
      <c r="J27" s="356"/>
      <c r="K27" s="356"/>
      <c r="L27" s="356"/>
      <c r="M27" s="354"/>
      <c r="N27" s="270"/>
      <c r="O27" s="270"/>
      <c r="P27" s="270"/>
      <c r="Q27" s="270"/>
      <c r="R27" s="270"/>
    </row>
    <row r="28" spans="1:18" s="225" customFormat="1" ht="12.75" customHeight="1" x14ac:dyDescent="0.2">
      <c r="A28" s="270"/>
      <c r="B28" s="366" t="s">
        <v>304</v>
      </c>
      <c r="C28" s="357">
        <f>'Revenue - Base year'!K153</f>
        <v>95500</v>
      </c>
      <c r="D28" s="357">
        <f>'Revenue - WHC'!K153</f>
        <v>3000</v>
      </c>
      <c r="E28" s="356">
        <v>0</v>
      </c>
      <c r="F28" s="356">
        <v>0</v>
      </c>
      <c r="G28" s="354">
        <v>0</v>
      </c>
      <c r="H28" s="356"/>
      <c r="I28" s="356"/>
      <c r="J28" s="356"/>
      <c r="K28" s="356"/>
      <c r="L28" s="356"/>
      <c r="M28" s="354"/>
      <c r="N28" s="270"/>
      <c r="O28" s="270"/>
      <c r="P28" s="270"/>
      <c r="Q28" s="270"/>
      <c r="R28" s="270"/>
    </row>
    <row r="29" spans="1:18" s="225" customFormat="1" ht="12.75" customHeight="1" x14ac:dyDescent="0.2">
      <c r="A29" s="270"/>
      <c r="B29" s="366" t="s">
        <v>251</v>
      </c>
      <c r="C29" s="357">
        <f>SUM(C30:C31)</f>
        <v>18000</v>
      </c>
      <c r="D29" s="357">
        <f>SUM(D30:D31)</f>
        <v>2847751</v>
      </c>
      <c r="E29" s="357">
        <f>SUM(E30:E31)</f>
        <v>7148613</v>
      </c>
      <c r="F29" s="357">
        <f>SUM(F30:F31)</f>
        <v>650000</v>
      </c>
      <c r="G29" s="368">
        <f>SUM(G30:G31)</f>
        <v>881300</v>
      </c>
      <c r="H29" s="357">
        <f t="shared" ref="H29" si="5">SUM(H30:H31)</f>
        <v>0</v>
      </c>
      <c r="I29" s="357">
        <f t="shared" ref="I29:M29" si="6">SUM(I30:I31)</f>
        <v>0</v>
      </c>
      <c r="J29" s="357">
        <f t="shared" si="6"/>
        <v>0</v>
      </c>
      <c r="K29" s="357">
        <f t="shared" si="6"/>
        <v>0</v>
      </c>
      <c r="L29" s="357">
        <f t="shared" si="6"/>
        <v>0</v>
      </c>
      <c r="M29" s="368">
        <f t="shared" si="6"/>
        <v>0</v>
      </c>
      <c r="N29" s="270"/>
      <c r="O29" s="270"/>
      <c r="P29" s="270"/>
      <c r="Q29" s="270"/>
      <c r="R29" s="270"/>
    </row>
    <row r="30" spans="1:18" s="225" customFormat="1" ht="12.75" customHeight="1" x14ac:dyDescent="0.2">
      <c r="A30" s="270"/>
      <c r="B30" s="366" t="s">
        <v>303</v>
      </c>
      <c r="C30" s="357">
        <f>'Revenue - Base year'!L153</f>
        <v>0</v>
      </c>
      <c r="D30" s="357">
        <f>'Revenue - WHC'!L153</f>
        <v>231300</v>
      </c>
      <c r="E30" s="356">
        <v>0</v>
      </c>
      <c r="F30" s="356">
        <v>0</v>
      </c>
      <c r="G30" s="354">
        <f>-'[5]5.2 Grants - capital'!$G$31</f>
        <v>231300</v>
      </c>
      <c r="H30" s="356"/>
      <c r="I30" s="356"/>
      <c r="J30" s="356"/>
      <c r="K30" s="356"/>
      <c r="L30" s="356"/>
      <c r="M30" s="354"/>
      <c r="N30" s="270"/>
      <c r="O30" s="270"/>
      <c r="P30" s="270"/>
      <c r="Q30" s="270"/>
      <c r="R30" s="270"/>
    </row>
    <row r="31" spans="1:18" s="225" customFormat="1" ht="12.75" customHeight="1" x14ac:dyDescent="0.2">
      <c r="A31" s="270"/>
      <c r="B31" s="366" t="s">
        <v>304</v>
      </c>
      <c r="C31" s="357">
        <f>'Revenue - Base year'!M153</f>
        <v>18000</v>
      </c>
      <c r="D31" s="357">
        <f>'Revenue - WHC'!M153</f>
        <v>2616451</v>
      </c>
      <c r="E31" s="356">
        <f>-GETPIVOTDATA("Sum of 2018/19",'[4]ESC Grants Cap'!$A$3,"Stat of Inc &amp; Exp (Available Cash)","Grants - capital")</f>
        <v>7148613</v>
      </c>
      <c r="F31" s="356">
        <f>-GETPIVOTDATA("Sum of 2019/20",'[4]ESC Grants Cap'!$A$3,"Stat of Inc &amp; Exp (Available Cash)","Grants - capital")</f>
        <v>650000</v>
      </c>
      <c r="G31" s="354">
        <f>-GETPIVOTDATA("Sum of 2020/21",'[4]ESC Grants Cap'!$A$3,"Stat of Inc &amp; Exp (Available Cash)","Grants - capital")-G30</f>
        <v>650000</v>
      </c>
      <c r="H31" s="356"/>
      <c r="I31" s="356"/>
      <c r="J31" s="356"/>
      <c r="K31" s="356"/>
      <c r="L31" s="356"/>
      <c r="M31" s="354"/>
      <c r="N31" s="270"/>
      <c r="O31" s="270"/>
      <c r="P31" s="270"/>
      <c r="Q31" s="270"/>
      <c r="R31" s="270"/>
    </row>
    <row r="32" spans="1:18" s="225" customFormat="1" ht="12.75" customHeight="1" x14ac:dyDescent="0.2">
      <c r="A32" s="270"/>
      <c r="B32" s="366" t="s">
        <v>305</v>
      </c>
      <c r="C32" s="357">
        <f t="shared" ref="C32:M32" si="7">SUM(C33:C34)</f>
        <v>0</v>
      </c>
      <c r="D32" s="357">
        <f t="shared" si="7"/>
        <v>17500</v>
      </c>
      <c r="E32" s="357">
        <f t="shared" si="7"/>
        <v>11000</v>
      </c>
      <c r="F32" s="357">
        <f t="shared" si="7"/>
        <v>0</v>
      </c>
      <c r="G32" s="368">
        <f t="shared" si="7"/>
        <v>0</v>
      </c>
      <c r="H32" s="357">
        <f t="shared" ref="H32" si="8">SUM(H33:H34)</f>
        <v>0</v>
      </c>
      <c r="I32" s="357">
        <f t="shared" si="7"/>
        <v>0</v>
      </c>
      <c r="J32" s="357">
        <f t="shared" si="7"/>
        <v>0</v>
      </c>
      <c r="K32" s="357">
        <f t="shared" si="7"/>
        <v>0</v>
      </c>
      <c r="L32" s="357">
        <f t="shared" si="7"/>
        <v>0</v>
      </c>
      <c r="M32" s="368">
        <f t="shared" si="7"/>
        <v>0</v>
      </c>
      <c r="N32" s="270"/>
      <c r="O32" s="270"/>
      <c r="P32" s="270"/>
      <c r="Q32" s="270"/>
      <c r="R32" s="270"/>
    </row>
    <row r="33" spans="1:18" s="225" customFormat="1" ht="12.75" customHeight="1" x14ac:dyDescent="0.2">
      <c r="A33" s="270"/>
      <c r="B33" s="366" t="s">
        <v>306</v>
      </c>
      <c r="C33" s="357">
        <f>'Revenue - Base year'!N153</f>
        <v>0</v>
      </c>
      <c r="D33" s="357">
        <f>'Revenue - WHC'!N153</f>
        <v>12500</v>
      </c>
      <c r="E33" s="356">
        <f>-GETPIVOTDATA("Sum of 2018/19",'[4]ESC Contrib Op'!$A$3,"Stat of Inc &amp; Exp (Available Cash)","Contributions - monetary - operating")</f>
        <v>0</v>
      </c>
      <c r="F33" s="356">
        <f>-GETPIVOTDATA("Sum of 2019/20",'[4]ESC Contrib Op'!$A$3,"Stat of Inc &amp; Exp (Available Cash)","Contributions - monetary - operating")</f>
        <v>0</v>
      </c>
      <c r="G33" s="354">
        <f>-GETPIVOTDATA("Sum of 2020/21",'[4]ESC Contrib Op'!$A$3,"Stat of Inc &amp; Exp (Available Cash)","Contributions - monetary - operating")</f>
        <v>0</v>
      </c>
      <c r="H33" s="356"/>
      <c r="I33" s="356"/>
      <c r="J33" s="356"/>
      <c r="K33" s="356"/>
      <c r="L33" s="356"/>
      <c r="M33" s="354"/>
      <c r="N33" s="270"/>
      <c r="O33" s="270"/>
      <c r="P33" s="270"/>
      <c r="Q33" s="270"/>
      <c r="R33" s="270"/>
    </row>
    <row r="34" spans="1:18" s="225" customFormat="1" ht="12.75" customHeight="1" x14ac:dyDescent="0.2">
      <c r="A34" s="270"/>
      <c r="B34" s="366" t="s">
        <v>307</v>
      </c>
      <c r="C34" s="357">
        <f>'Revenue - Base year'!O153</f>
        <v>0</v>
      </c>
      <c r="D34" s="357">
        <f>'Revenue - WHC'!O153</f>
        <v>5000</v>
      </c>
      <c r="E34" s="356">
        <f>-GETPIVOTDATA("Sum of 2018/19",'[4]ESC Contrib Cap'!$A$3,"Stat of Inc &amp; Exp (Available Cash)","Contributions - monetary - capital")</f>
        <v>11000</v>
      </c>
      <c r="F34" s="356">
        <f>-GETPIVOTDATA("Sum of 2019/20",'[4]ESC Contrib Cap'!$A$3,"Stat of Inc &amp; Exp (Available Cash)","Contributions - monetary - capital")</f>
        <v>0</v>
      </c>
      <c r="G34" s="354">
        <f>-GETPIVOTDATA("Sum of 2020/21",'[4]ESC Contrib Cap'!$A$3,"Stat of Inc &amp; Exp (Available Cash)","Contributions - monetary - capital")</f>
        <v>0</v>
      </c>
      <c r="H34" s="356"/>
      <c r="I34" s="356"/>
      <c r="J34" s="356"/>
      <c r="K34" s="356"/>
      <c r="L34" s="356"/>
      <c r="M34" s="354"/>
      <c r="N34" s="270"/>
      <c r="O34" s="270"/>
      <c r="P34" s="270"/>
      <c r="Q34" s="270"/>
      <c r="R34" s="270"/>
    </row>
    <row r="35" spans="1:18" s="225" customFormat="1" ht="12.75" customHeight="1" x14ac:dyDescent="0.2">
      <c r="A35" s="270"/>
      <c r="B35" s="366" t="s">
        <v>252</v>
      </c>
      <c r="C35" s="357">
        <f>'Revenue - Base year'!P153</f>
        <v>0</v>
      </c>
      <c r="D35" s="357">
        <f>'Revenue - WHC'!P153</f>
        <v>0</v>
      </c>
      <c r="E35" s="356">
        <v>0</v>
      </c>
      <c r="F35" s="356">
        <v>0</v>
      </c>
      <c r="G35" s="354">
        <v>0</v>
      </c>
      <c r="H35" s="356"/>
      <c r="I35" s="356"/>
      <c r="J35" s="356"/>
      <c r="K35" s="356"/>
      <c r="L35" s="356"/>
      <c r="M35" s="354"/>
      <c r="N35" s="270"/>
      <c r="O35" s="270"/>
      <c r="P35" s="270"/>
      <c r="Q35" s="270"/>
      <c r="R35" s="270"/>
    </row>
    <row r="36" spans="1:18" s="225" customFormat="1" ht="12.75" customHeight="1" x14ac:dyDescent="0.2">
      <c r="A36" s="270"/>
      <c r="B36" s="366" t="s">
        <v>253</v>
      </c>
      <c r="C36" s="357">
        <f>'Revenue - Base year'!R153</f>
        <v>0</v>
      </c>
      <c r="D36" s="357">
        <f>'Revenue - WHC'!R153</f>
        <v>0</v>
      </c>
      <c r="E36" s="356">
        <v>0</v>
      </c>
      <c r="F36" s="356">
        <v>0</v>
      </c>
      <c r="G36" s="354">
        <v>0</v>
      </c>
      <c r="H36" s="356"/>
      <c r="I36" s="356"/>
      <c r="J36" s="356"/>
      <c r="K36" s="356"/>
      <c r="L36" s="356"/>
      <c r="M36" s="354"/>
      <c r="N36" s="270"/>
      <c r="O36" s="270"/>
      <c r="P36" s="270"/>
      <c r="Q36" s="270"/>
      <c r="R36" s="270"/>
    </row>
    <row r="37" spans="1:18" s="225" customFormat="1" ht="12.75" customHeight="1" x14ac:dyDescent="0.2">
      <c r="A37" s="270"/>
      <c r="B37" s="366" t="s">
        <v>254</v>
      </c>
      <c r="C37" s="357">
        <f>'Revenue - Base year'!S153</f>
        <v>0</v>
      </c>
      <c r="D37" s="357">
        <f>'Revenue - WHC'!S153</f>
        <v>0</v>
      </c>
      <c r="E37" s="356">
        <v>0</v>
      </c>
      <c r="F37" s="356">
        <v>0</v>
      </c>
      <c r="G37" s="354">
        <v>0</v>
      </c>
      <c r="H37" s="356"/>
      <c r="I37" s="356"/>
      <c r="J37" s="356"/>
      <c r="K37" s="356"/>
      <c r="L37" s="356"/>
      <c r="M37" s="354"/>
      <c r="N37" s="270"/>
      <c r="O37" s="270"/>
      <c r="P37" s="270"/>
      <c r="Q37" s="270"/>
      <c r="R37" s="270"/>
    </row>
    <row r="38" spans="1:18" s="225" customFormat="1" ht="12.75" customHeight="1" x14ac:dyDescent="0.2">
      <c r="A38" s="270"/>
      <c r="B38" s="366" t="s">
        <v>255</v>
      </c>
      <c r="C38" s="357">
        <f>'Revenue - Base year'!T153</f>
        <v>0</v>
      </c>
      <c r="D38" s="357">
        <f>'Revenue - WHC'!T153</f>
        <v>0</v>
      </c>
      <c r="E38" s="356">
        <v>0</v>
      </c>
      <c r="F38" s="356">
        <v>0</v>
      </c>
      <c r="G38" s="354">
        <v>0</v>
      </c>
      <c r="H38" s="356"/>
      <c r="I38" s="356"/>
      <c r="J38" s="356"/>
      <c r="K38" s="356"/>
      <c r="L38" s="356"/>
      <c r="M38" s="354"/>
      <c r="N38" s="270"/>
      <c r="O38" s="270"/>
      <c r="P38" s="270"/>
      <c r="Q38" s="270"/>
      <c r="R38" s="270"/>
    </row>
    <row r="39" spans="1:18" s="225" customFormat="1" ht="12.75" customHeight="1" x14ac:dyDescent="0.2">
      <c r="A39" s="270"/>
      <c r="B39" s="366" t="s">
        <v>256</v>
      </c>
      <c r="C39" s="357">
        <f>'Revenue - Base year'!Q153</f>
        <v>246483.10000000003</v>
      </c>
      <c r="D39" s="357">
        <f>'Revenue - WHC'!Q153</f>
        <v>234200</v>
      </c>
      <c r="E39" s="356">
        <f>-GETPIVOTDATA("Sum of 2018/19",'[4]ESC Other Inc'!$A$3,"Stat of Inc &amp; Exp (Available Cash)","Other income")</f>
        <v>236600</v>
      </c>
      <c r="F39" s="356">
        <f>-GETPIVOTDATA("Sum of 2019/20",'[4]ESC Other Inc'!$A$3,"Stat of Inc &amp; Exp (Available Cash)","Other income")</f>
        <v>239100</v>
      </c>
      <c r="G39" s="354">
        <f>-GETPIVOTDATA("Sum of 2020/21",'[4]ESC Other Inc'!$A$3,"Stat of Inc &amp; Exp (Available Cash)","Other income")</f>
        <v>241500</v>
      </c>
      <c r="H39" s="356"/>
      <c r="I39" s="356"/>
      <c r="J39" s="356"/>
      <c r="K39" s="356"/>
      <c r="L39" s="356"/>
      <c r="M39" s="354"/>
      <c r="N39" s="270"/>
      <c r="O39" s="270"/>
      <c r="P39" s="270"/>
      <c r="Q39" s="270"/>
      <c r="R39" s="270"/>
    </row>
    <row r="40" spans="1:18" s="225" customFormat="1" ht="12.75" customHeight="1" x14ac:dyDescent="0.2">
      <c r="A40" s="270"/>
      <c r="B40" s="377" t="s">
        <v>257</v>
      </c>
      <c r="C40" s="355">
        <f>SUM(C23:C25,C26,C29,C32,C35:C39)</f>
        <v>10061889.969999999</v>
      </c>
      <c r="D40" s="355">
        <f>SUM(D23:D25,D26,D29,D32,D35:D39)</f>
        <v>13075073.977933977</v>
      </c>
      <c r="E40" s="355">
        <f>SUM(E23:E25,E26,E29,E32,E35:E39)</f>
        <v>17130862.832445055</v>
      </c>
      <c r="F40" s="355">
        <f>SUM(F23:F25,F26,F29,F32,F35:F39)</f>
        <v>11224519.504043885</v>
      </c>
      <c r="G40" s="378">
        <f>SUM(G23:G25,G26,G29,G32,G35:G39)</f>
        <v>11690780.040265972</v>
      </c>
      <c r="H40" s="355">
        <f t="shared" ref="H40" si="9">SUM(H23:H25,H26,H29,H32,H35:H39)</f>
        <v>0</v>
      </c>
      <c r="I40" s="355">
        <f t="shared" ref="I40:M40" si="10">SUM(I23:I25,I26,I29,I32,I35:I39)</f>
        <v>0</v>
      </c>
      <c r="J40" s="355">
        <f t="shared" si="10"/>
        <v>0</v>
      </c>
      <c r="K40" s="355">
        <f t="shared" si="10"/>
        <v>0</v>
      </c>
      <c r="L40" s="355">
        <f t="shared" si="10"/>
        <v>0</v>
      </c>
      <c r="M40" s="378">
        <f t="shared" si="10"/>
        <v>0</v>
      </c>
      <c r="N40" s="270"/>
      <c r="O40" s="270"/>
      <c r="P40" s="270"/>
      <c r="Q40" s="270"/>
      <c r="R40" s="270"/>
    </row>
    <row r="41" spans="1:18" s="225" customFormat="1" ht="12.75" customHeight="1" x14ac:dyDescent="0.2">
      <c r="A41" s="270"/>
      <c r="B41" s="282"/>
      <c r="C41" s="430"/>
      <c r="D41" s="430"/>
      <c r="E41" s="430"/>
      <c r="F41" s="430"/>
      <c r="G41" s="431"/>
      <c r="H41" s="430"/>
      <c r="I41" s="430"/>
      <c r="J41" s="430"/>
      <c r="K41" s="430"/>
      <c r="L41" s="430"/>
      <c r="M41" s="431"/>
      <c r="N41" s="270"/>
      <c r="O41" s="270"/>
      <c r="P41" s="270"/>
      <c r="Q41" s="270"/>
      <c r="R41" s="270"/>
    </row>
    <row r="42" spans="1:18" s="225" customFormat="1" ht="12.75" customHeight="1" x14ac:dyDescent="0.2">
      <c r="A42" s="270"/>
      <c r="B42" s="336" t="s">
        <v>258</v>
      </c>
      <c r="C42" s="359"/>
      <c r="D42" s="359"/>
      <c r="E42" s="359"/>
      <c r="F42" s="359"/>
      <c r="G42" s="360"/>
      <c r="H42" s="359"/>
      <c r="I42" s="359"/>
      <c r="J42" s="359"/>
      <c r="K42" s="359"/>
      <c r="L42" s="359"/>
      <c r="M42" s="360"/>
      <c r="N42" s="270"/>
      <c r="O42" s="270"/>
      <c r="P42" s="270"/>
      <c r="Q42" s="270"/>
      <c r="R42" s="270"/>
    </row>
    <row r="43" spans="1:18" s="225" customFormat="1" ht="12.75" customHeight="1" x14ac:dyDescent="0.2">
      <c r="A43" s="270"/>
      <c r="B43" s="231" t="s">
        <v>79</v>
      </c>
      <c r="C43" s="357">
        <f>'Expenditure - Base year'!H152</f>
        <v>3846800</v>
      </c>
      <c r="D43" s="357">
        <f>'Expenditure - WHC'!H152</f>
        <v>4057300</v>
      </c>
      <c r="E43" s="356">
        <f>GETPIVOTDATA("Sum of 2018/19",'[4]ESC Employees'!$A$3,"Stat of Inc &amp; Exp (Available Cash)","Employee costs")</f>
        <v>4172900</v>
      </c>
      <c r="F43" s="356">
        <f>GETPIVOTDATA("Sum of 2019/20",'[4]ESC Employees'!$A$3,"Stat of Inc &amp; Exp (Available Cash)","Employee costs")</f>
        <v>4288625.9988000002</v>
      </c>
      <c r="G43" s="354">
        <f>GETPIVOTDATA("Sum of 2020/21",'[4]ESC Employees'!$A$3,"Stat of Inc &amp; Exp (Available Cash)","Employee costs")</f>
        <v>4408654.7787640002</v>
      </c>
      <c r="H43" s="356"/>
      <c r="I43" s="356"/>
      <c r="J43" s="356"/>
      <c r="K43" s="356"/>
      <c r="L43" s="356"/>
      <c r="M43" s="354"/>
      <c r="N43" s="270"/>
      <c r="O43" s="270"/>
      <c r="P43" s="270"/>
      <c r="Q43" s="270"/>
      <c r="R43" s="270"/>
    </row>
    <row r="44" spans="1:18" s="225" customFormat="1" ht="12.75" customHeight="1" x14ac:dyDescent="0.2">
      <c r="A44" s="270"/>
      <c r="B44" s="231" t="s">
        <v>259</v>
      </c>
      <c r="C44" s="357">
        <f>'Expenditure - Base year'!I152</f>
        <v>5070564.7176363636</v>
      </c>
      <c r="D44" s="357">
        <f>'Expenditure - WHC'!I152</f>
        <v>5447620.3427499998</v>
      </c>
      <c r="E44" s="356">
        <f>GETPIVOTDATA("Sum of 2018/19",'[4]ESC Mat &amp; Serv'!$A$3,"Stat of Inc &amp; Exp (Available Cash)","Materials and services")</f>
        <v>4927400.00291875</v>
      </c>
      <c r="F44" s="356">
        <f>GETPIVOTDATA("Sum of 2019/20",'[4]ESC Mat &amp; Serv'!$A$3,"Stat of Inc &amp; Exp (Available Cash)","Materials and services")</f>
        <v>4914100.0030967183</v>
      </c>
      <c r="G44" s="354">
        <f>GETPIVOTDATA("Sum of 2020/21",'[4]ESC Mat &amp; Serv'!$A$3,"Stat of Inc &amp; Exp (Available Cash)","Materials and services")</f>
        <v>5105700.0032843864</v>
      </c>
      <c r="H44" s="356"/>
      <c r="I44" s="356"/>
      <c r="J44" s="356"/>
      <c r="K44" s="356"/>
      <c r="L44" s="356"/>
      <c r="M44" s="354"/>
      <c r="N44" s="270"/>
      <c r="O44" s="270"/>
      <c r="P44" s="270"/>
      <c r="Q44" s="270"/>
      <c r="R44" s="270"/>
    </row>
    <row r="45" spans="1:18" s="225" customFormat="1" ht="12.75" customHeight="1" x14ac:dyDescent="0.2">
      <c r="A45" s="270"/>
      <c r="B45" s="231" t="s">
        <v>260</v>
      </c>
      <c r="C45" s="357">
        <f>'Expenditure - Base year'!J152</f>
        <v>3000</v>
      </c>
      <c r="D45" s="357">
        <f>'Expenditure - WHC'!J152</f>
        <v>3000</v>
      </c>
      <c r="E45" s="356">
        <f>GETPIVOTDATA("Sum of 2018/19",'[4]ESC B&amp;DD'!$A$3,"Stat of Inc &amp; Exp (Available Cash)","Bad and doubtful debts")</f>
        <v>3000</v>
      </c>
      <c r="F45" s="356">
        <f>GETPIVOTDATA("Sum of 2019/20",'[4]ESC B&amp;DD'!$A$3,"Stat of Inc &amp; Exp (Available Cash)","Bad and doubtful debts")</f>
        <v>3000</v>
      </c>
      <c r="G45" s="354">
        <f>GETPIVOTDATA("Sum of 2020/21",'[4]ESC B&amp;DD'!$A$3,"Stat of Inc &amp; Exp (Available Cash)","Bad and doubtful debts")</f>
        <v>3000</v>
      </c>
      <c r="H45" s="356"/>
      <c r="I45" s="356"/>
      <c r="J45" s="356"/>
      <c r="K45" s="356"/>
      <c r="L45" s="356"/>
      <c r="M45" s="354"/>
      <c r="N45" s="270"/>
      <c r="O45" s="270"/>
      <c r="P45" s="270"/>
      <c r="Q45" s="270"/>
      <c r="R45" s="270"/>
    </row>
    <row r="46" spans="1:18" s="225" customFormat="1" ht="12.75" customHeight="1" x14ac:dyDescent="0.2">
      <c r="A46" s="270"/>
      <c r="B46" s="231" t="s">
        <v>81</v>
      </c>
      <c r="C46" s="357">
        <f t="shared" ref="C46:M46" si="11">SUM(C47:C48)</f>
        <v>1121233.8436</v>
      </c>
      <c r="D46" s="357">
        <f t="shared" si="11"/>
        <v>1196599.2408</v>
      </c>
      <c r="E46" s="357">
        <f t="shared" si="11"/>
        <v>1328460.5008</v>
      </c>
      <c r="F46" s="357">
        <f t="shared" si="11"/>
        <v>1345160.5008</v>
      </c>
      <c r="G46" s="368">
        <f t="shared" si="11"/>
        <v>1373820.5008</v>
      </c>
      <c r="H46" s="357">
        <f t="shared" ref="H46" si="12">SUM(H47:H48)</f>
        <v>0</v>
      </c>
      <c r="I46" s="357">
        <f t="shared" si="11"/>
        <v>0</v>
      </c>
      <c r="J46" s="357">
        <f t="shared" si="11"/>
        <v>0</v>
      </c>
      <c r="K46" s="357">
        <f t="shared" si="11"/>
        <v>0</v>
      </c>
      <c r="L46" s="357">
        <f t="shared" si="11"/>
        <v>0</v>
      </c>
      <c r="M46" s="368">
        <f t="shared" si="11"/>
        <v>0</v>
      </c>
      <c r="N46" s="270"/>
      <c r="O46" s="270"/>
      <c r="P46" s="270"/>
      <c r="Q46" s="270"/>
      <c r="R46" s="270"/>
    </row>
    <row r="47" spans="1:18" s="225" customFormat="1" ht="12.75" customHeight="1" x14ac:dyDescent="0.2">
      <c r="A47" s="270"/>
      <c r="B47" s="231" t="s">
        <v>308</v>
      </c>
      <c r="C47" s="357">
        <f>'Expenditure - Base year'!K152</f>
        <v>1121233.8436</v>
      </c>
      <c r="D47" s="357">
        <f>'Expenditure - WHC'!K152</f>
        <v>1196599.2408</v>
      </c>
      <c r="E47" s="356">
        <f>GETPIVOTDATA("Sum of 2018/19",'[4]ESC Depn'!$A$3,"Comprehensive Income Statement","Depreciation")</f>
        <v>1328460.5008</v>
      </c>
      <c r="F47" s="356">
        <f>GETPIVOTDATA("Sum of 2019/20",'[4]ESC Depn'!$A$3,"Comprehensive Income Statement","Depreciation")</f>
        <v>1345160.5008</v>
      </c>
      <c r="G47" s="354">
        <f>GETPIVOTDATA("Sum of 2020/21",'[4]ESC Depn'!$A$3,"Comprehensive Income Statement","Depreciation")</f>
        <v>1373820.5008</v>
      </c>
      <c r="H47" s="356"/>
      <c r="I47" s="356"/>
      <c r="J47" s="356"/>
      <c r="K47" s="356"/>
      <c r="L47" s="356"/>
      <c r="M47" s="354"/>
      <c r="N47" s="270"/>
      <c r="O47" s="270"/>
      <c r="P47" s="270"/>
      <c r="Q47" s="270"/>
      <c r="R47" s="270"/>
    </row>
    <row r="48" spans="1:18" s="225" customFormat="1" ht="12.75" customHeight="1" x14ac:dyDescent="0.2">
      <c r="A48" s="270"/>
      <c r="B48" s="231" t="s">
        <v>309</v>
      </c>
      <c r="C48" s="357">
        <f>'Expenditure - Base year'!L152</f>
        <v>0</v>
      </c>
      <c r="D48" s="357">
        <f>'Expenditure - WHC'!L152</f>
        <v>0</v>
      </c>
      <c r="E48" s="356">
        <v>0</v>
      </c>
      <c r="F48" s="356">
        <v>0</v>
      </c>
      <c r="G48" s="354">
        <v>0</v>
      </c>
      <c r="H48" s="356"/>
      <c r="I48" s="356"/>
      <c r="J48" s="356"/>
      <c r="K48" s="356"/>
      <c r="L48" s="356"/>
      <c r="M48" s="354"/>
      <c r="N48" s="270"/>
      <c r="O48" s="270"/>
      <c r="P48" s="270"/>
      <c r="Q48" s="270"/>
      <c r="R48" s="270"/>
    </row>
    <row r="49" spans="1:18" s="225" customFormat="1" ht="12.75" customHeight="1" x14ac:dyDescent="0.2">
      <c r="A49" s="270"/>
      <c r="B49" s="231" t="s">
        <v>261</v>
      </c>
      <c r="C49" s="357">
        <f>'Expenditure - Base year'!M152</f>
        <v>10424.030000000001</v>
      </c>
      <c r="D49" s="357">
        <f>'Expenditure - WHC'!M152</f>
        <v>11300</v>
      </c>
      <c r="E49" s="356">
        <f>GETPIVOTDATA("Sum of 2018/19",'[4]ESC Int Exp'!$A$3,"Stat of Inc &amp; Exp (Available Cash)","Borrowing costs")</f>
        <v>22400</v>
      </c>
      <c r="F49" s="356">
        <f>GETPIVOTDATA("Sum of 2019/20",'[4]ESC Int Exp'!$A$3,"Stat of Inc &amp; Exp (Available Cash)","Borrowing costs")</f>
        <v>32800</v>
      </c>
      <c r="G49" s="354">
        <f>GETPIVOTDATA("Sum of 2020/21",'[4]ESC Int Exp'!$A$3,"Stat of Inc &amp; Exp (Available Cash)","Borrowing costs")</f>
        <v>29100</v>
      </c>
      <c r="H49" s="356"/>
      <c r="I49" s="356"/>
      <c r="J49" s="356"/>
      <c r="K49" s="356"/>
      <c r="L49" s="356"/>
      <c r="M49" s="354"/>
      <c r="N49" s="270"/>
      <c r="O49" s="270"/>
      <c r="P49" s="270"/>
      <c r="Q49" s="270"/>
      <c r="R49" s="270"/>
    </row>
    <row r="50" spans="1:18" s="225" customFormat="1" ht="12.75" customHeight="1" x14ac:dyDescent="0.2">
      <c r="A50" s="270"/>
      <c r="B50" s="366" t="s">
        <v>253</v>
      </c>
      <c r="C50" s="357">
        <f>'Expenditure - Base year'!O152</f>
        <v>0</v>
      </c>
      <c r="D50" s="357">
        <f>'Expenditure - WHC'!O152</f>
        <v>0</v>
      </c>
      <c r="E50" s="356">
        <v>0</v>
      </c>
      <c r="F50" s="356">
        <v>0</v>
      </c>
      <c r="G50" s="354">
        <v>0</v>
      </c>
      <c r="H50" s="356"/>
      <c r="I50" s="356"/>
      <c r="J50" s="356"/>
      <c r="K50" s="356"/>
      <c r="L50" s="356"/>
      <c r="M50" s="354"/>
      <c r="N50" s="270"/>
      <c r="O50" s="270"/>
      <c r="P50" s="270"/>
      <c r="Q50" s="270"/>
      <c r="R50" s="270"/>
    </row>
    <row r="51" spans="1:18" s="225" customFormat="1" ht="12.75" customHeight="1" x14ac:dyDescent="0.2">
      <c r="A51" s="270"/>
      <c r="B51" s="366" t="s">
        <v>254</v>
      </c>
      <c r="C51" s="357">
        <f>'Expenditure - Base year'!P152</f>
        <v>0</v>
      </c>
      <c r="D51" s="357">
        <f>'Expenditure - WHC'!P152</f>
        <v>0</v>
      </c>
      <c r="E51" s="356">
        <v>0</v>
      </c>
      <c r="F51" s="356">
        <v>0</v>
      </c>
      <c r="G51" s="354">
        <v>0</v>
      </c>
      <c r="H51" s="356"/>
      <c r="I51" s="356"/>
      <c r="J51" s="356"/>
      <c r="K51" s="356"/>
      <c r="L51" s="356"/>
      <c r="M51" s="354"/>
      <c r="N51" s="270"/>
      <c r="O51" s="270"/>
      <c r="P51" s="270"/>
      <c r="Q51" s="270"/>
      <c r="R51" s="270"/>
    </row>
    <row r="52" spans="1:18" s="225" customFormat="1" ht="12.75" customHeight="1" x14ac:dyDescent="0.2">
      <c r="A52" s="270"/>
      <c r="B52" s="366" t="s">
        <v>255</v>
      </c>
      <c r="C52" s="357">
        <f>'Expenditure - Base year'!Q152</f>
        <v>0</v>
      </c>
      <c r="D52" s="357">
        <f>'Expenditure - WHC'!Q152</f>
        <v>0</v>
      </c>
      <c r="E52" s="356">
        <v>0</v>
      </c>
      <c r="F52" s="356">
        <v>0</v>
      </c>
      <c r="G52" s="354">
        <v>0</v>
      </c>
      <c r="H52" s="356"/>
      <c r="I52" s="356"/>
      <c r="J52" s="356"/>
      <c r="K52" s="356"/>
      <c r="L52" s="356"/>
      <c r="M52" s="354"/>
      <c r="N52" s="270"/>
      <c r="O52" s="270"/>
      <c r="P52" s="270"/>
      <c r="Q52" s="270"/>
      <c r="R52" s="270"/>
    </row>
    <row r="53" spans="1:18" s="225" customFormat="1" ht="12.75" customHeight="1" x14ac:dyDescent="0.2">
      <c r="A53" s="270"/>
      <c r="B53" s="231" t="s">
        <v>82</v>
      </c>
      <c r="C53" s="357">
        <f>'Expenditure - Base year'!N152</f>
        <v>229078.61</v>
      </c>
      <c r="D53" s="357">
        <f>'Expenditure - WHC'!N152</f>
        <v>233123</v>
      </c>
      <c r="E53" s="356">
        <f>GETPIVOTDATA("Sum of 2018/19",'[4]ESC Other Exp'!$A$3,"Stat of Inc &amp; Exp (Available Cash)","Other expenses")</f>
        <v>238749.99999999997</v>
      </c>
      <c r="F53" s="356">
        <f>GETPIVOTDATA("Sum of 2019/20",'[4]ESC Other Exp'!$A$3,"Stat of Inc &amp; Exp (Available Cash)","Other expenses")</f>
        <v>243092.99999999994</v>
      </c>
      <c r="G53" s="354">
        <f>GETPIVOTDATA("Sum of 2020/21",'[4]ESC Other Exp'!$A$3,"Stat of Inc &amp; Exp (Available Cash)","Other expenses")</f>
        <v>249624.99999999994</v>
      </c>
      <c r="H53" s="356"/>
      <c r="I53" s="356"/>
      <c r="J53" s="356"/>
      <c r="K53" s="356"/>
      <c r="L53" s="356"/>
      <c r="M53" s="354"/>
      <c r="N53" s="270"/>
      <c r="O53" s="270"/>
      <c r="P53" s="270"/>
      <c r="Q53" s="270"/>
      <c r="R53" s="270"/>
    </row>
    <row r="54" spans="1:18" s="225" customFormat="1" ht="12.75" customHeight="1" x14ac:dyDescent="0.2">
      <c r="A54" s="270"/>
      <c r="B54" s="379" t="s">
        <v>262</v>
      </c>
      <c r="C54" s="370">
        <f>SUM(C43:C46,C49:C53)</f>
        <v>10281101.201236362</v>
      </c>
      <c r="D54" s="370">
        <f>SUM(D43:D46,D49:D53)</f>
        <v>10948942.583550001</v>
      </c>
      <c r="E54" s="370">
        <f>SUM(E43:E46,E49:E53)</f>
        <v>10692910.503718751</v>
      </c>
      <c r="F54" s="370">
        <f>SUM(F43:F46,F49:F53)</f>
        <v>10826779.502696719</v>
      </c>
      <c r="G54" s="371">
        <f>SUM(G43:G46,G49:G53)</f>
        <v>11169900.282848386</v>
      </c>
      <c r="H54" s="370">
        <f t="shared" ref="H54" si="13">SUM(H43:H46,H49:H53)</f>
        <v>0</v>
      </c>
      <c r="I54" s="370">
        <f t="shared" ref="I54:M54" si="14">SUM(I43:I46,I49:I53)</f>
        <v>0</v>
      </c>
      <c r="J54" s="370">
        <f t="shared" si="14"/>
        <v>0</v>
      </c>
      <c r="K54" s="370">
        <f t="shared" si="14"/>
        <v>0</v>
      </c>
      <c r="L54" s="370">
        <f t="shared" si="14"/>
        <v>0</v>
      </c>
      <c r="M54" s="371">
        <f t="shared" si="14"/>
        <v>0</v>
      </c>
      <c r="N54" s="270"/>
      <c r="O54" s="270"/>
      <c r="P54" s="270"/>
      <c r="Q54" s="270"/>
      <c r="R54" s="270"/>
    </row>
    <row r="55" spans="1:18" s="225" customFormat="1" ht="12.75" customHeight="1" x14ac:dyDescent="0.2">
      <c r="A55" s="270"/>
      <c r="B55" s="270"/>
      <c r="C55" s="353"/>
      <c r="D55" s="353"/>
      <c r="E55" s="353"/>
      <c r="F55" s="353"/>
      <c r="G55" s="353"/>
      <c r="H55" s="353"/>
      <c r="I55" s="353"/>
      <c r="J55" s="353"/>
      <c r="K55" s="353"/>
      <c r="L55" s="353"/>
      <c r="M55" s="353"/>
      <c r="N55" s="270"/>
      <c r="O55" s="270"/>
      <c r="P55" s="270"/>
      <c r="Q55" s="270"/>
      <c r="R55" s="270"/>
    </row>
    <row r="56" spans="1:18" s="225" customFormat="1" ht="12.75" customHeight="1" x14ac:dyDescent="0.2">
      <c r="A56" s="270"/>
      <c r="B56" s="382" t="s">
        <v>158</v>
      </c>
      <c r="C56" s="433"/>
      <c r="D56" s="433"/>
      <c r="E56" s="433"/>
      <c r="F56" s="433"/>
      <c r="G56" s="434"/>
      <c r="H56" s="435"/>
      <c r="I56" s="433"/>
      <c r="J56" s="433"/>
      <c r="K56" s="433"/>
      <c r="L56" s="433"/>
      <c r="M56" s="434"/>
      <c r="N56" s="270"/>
      <c r="O56" s="270"/>
      <c r="P56" s="270"/>
      <c r="Q56" s="270"/>
      <c r="R56" s="270"/>
    </row>
    <row r="57" spans="1:18" s="225" customFormat="1" ht="12.75" customHeight="1" x14ac:dyDescent="0.2">
      <c r="A57" s="270"/>
      <c r="B57" s="282" t="s">
        <v>276</v>
      </c>
      <c r="C57" s="430"/>
      <c r="D57" s="430"/>
      <c r="E57" s="430"/>
      <c r="F57" s="430"/>
      <c r="G57" s="431"/>
      <c r="H57" s="432"/>
      <c r="I57" s="430"/>
      <c r="J57" s="430"/>
      <c r="K57" s="430"/>
      <c r="L57" s="430"/>
      <c r="M57" s="431"/>
      <c r="N57" s="270"/>
      <c r="O57" s="270"/>
      <c r="P57" s="270"/>
      <c r="Q57" s="270"/>
      <c r="R57" s="270"/>
    </row>
    <row r="58" spans="1:18" s="225" customFormat="1" ht="12.75" customHeight="1" x14ac:dyDescent="0.2">
      <c r="A58" s="270"/>
      <c r="B58" s="231" t="s">
        <v>277</v>
      </c>
      <c r="C58" s="357">
        <f>SUM(C59:C63)</f>
        <v>3847000</v>
      </c>
      <c r="D58" s="357">
        <f t="shared" ref="D58:G58" si="15">SUM(D59:D63)</f>
        <v>3410000</v>
      </c>
      <c r="E58" s="357">
        <f t="shared" si="15"/>
        <v>2615000</v>
      </c>
      <c r="F58" s="357">
        <f t="shared" si="15"/>
        <v>1943000</v>
      </c>
      <c r="G58" s="357">
        <f t="shared" si="15"/>
        <v>1931000</v>
      </c>
      <c r="H58" s="373">
        <f t="shared" ref="H58:M58" si="16">SUM(H60:H63)</f>
        <v>0</v>
      </c>
      <c r="I58" s="357">
        <f t="shared" si="16"/>
        <v>0</v>
      </c>
      <c r="J58" s="357">
        <f t="shared" si="16"/>
        <v>0</v>
      </c>
      <c r="K58" s="357">
        <f t="shared" si="16"/>
        <v>0</v>
      </c>
      <c r="L58" s="357">
        <f t="shared" si="16"/>
        <v>0</v>
      </c>
      <c r="M58" s="368">
        <f t="shared" si="16"/>
        <v>0</v>
      </c>
      <c r="N58" s="270"/>
      <c r="O58" s="270"/>
      <c r="P58" s="270"/>
      <c r="Q58" s="270"/>
      <c r="R58" s="270"/>
    </row>
    <row r="59" spans="1:18" s="225" customFormat="1" ht="12.75" customHeight="1" x14ac:dyDescent="0.2">
      <c r="A59" s="270"/>
      <c r="B59" s="231" t="s">
        <v>310</v>
      </c>
      <c r="C59" s="356">
        <f>C82</f>
        <v>87000</v>
      </c>
      <c r="D59" s="356">
        <f t="shared" ref="D59:G59" si="17">D82</f>
        <v>87000</v>
      </c>
      <c r="E59" s="356">
        <f t="shared" si="17"/>
        <v>87000</v>
      </c>
      <c r="F59" s="356">
        <f t="shared" si="17"/>
        <v>87000</v>
      </c>
      <c r="G59" s="354">
        <f t="shared" si="17"/>
        <v>87000</v>
      </c>
      <c r="H59" s="356"/>
      <c r="I59" s="356"/>
      <c r="J59" s="356"/>
      <c r="K59" s="356"/>
      <c r="L59" s="356"/>
      <c r="M59" s="356"/>
      <c r="N59" s="270"/>
      <c r="O59" s="270"/>
      <c r="P59" s="270"/>
      <c r="Q59" s="270"/>
      <c r="R59" s="270"/>
    </row>
    <row r="60" spans="1:18" s="225" customFormat="1" ht="12.75" customHeight="1" x14ac:dyDescent="0.2">
      <c r="A60" s="270"/>
      <c r="B60" s="231" t="s">
        <v>311</v>
      </c>
      <c r="C60" s="356">
        <v>0</v>
      </c>
      <c r="D60" s="356">
        <v>0</v>
      </c>
      <c r="E60" s="356">
        <v>0</v>
      </c>
      <c r="F60" s="356">
        <v>0</v>
      </c>
      <c r="G60" s="354">
        <v>0</v>
      </c>
      <c r="H60" s="356"/>
      <c r="I60" s="356"/>
      <c r="J60" s="356"/>
      <c r="K60" s="356"/>
      <c r="L60" s="356"/>
      <c r="M60" s="356"/>
      <c r="N60" s="270"/>
      <c r="O60" s="270"/>
      <c r="P60" s="270"/>
      <c r="Q60" s="270"/>
      <c r="R60" s="270"/>
    </row>
    <row r="61" spans="1:18" s="225" customFormat="1" ht="12.75" customHeight="1" x14ac:dyDescent="0.2">
      <c r="A61" s="270"/>
      <c r="B61" s="231" t="s">
        <v>312</v>
      </c>
      <c r="C61" s="356">
        <f>MROUND((-'[11]11.2 Restricted &amp; unrestricted'!C$9*1000),1000)</f>
        <v>978000</v>
      </c>
      <c r="D61" s="356">
        <f>MROUND((-'[11]11.2 Restricted &amp; unrestricted'!D$9*1000),1000)</f>
        <v>1145000</v>
      </c>
      <c r="E61" s="356">
        <v>0</v>
      </c>
      <c r="F61" s="356">
        <v>0</v>
      </c>
      <c r="G61" s="354">
        <v>0</v>
      </c>
      <c r="H61" s="372"/>
      <c r="I61" s="356"/>
      <c r="J61" s="356"/>
      <c r="K61" s="356"/>
      <c r="L61" s="356"/>
      <c r="M61" s="354"/>
      <c r="N61" s="270"/>
      <c r="O61" s="270"/>
      <c r="P61" s="270"/>
      <c r="Q61" s="270"/>
      <c r="R61" s="270"/>
    </row>
    <row r="62" spans="1:18" s="225" customFormat="1" ht="12.75" customHeight="1" x14ac:dyDescent="0.2">
      <c r="A62" s="270"/>
      <c r="B62" s="231" t="s">
        <v>313</v>
      </c>
      <c r="C62" s="356">
        <f>MROUND((-'[11]11.2 Restricted &amp; unrestricted'!C$8*1000),1000)</f>
        <v>522000</v>
      </c>
      <c r="D62" s="356">
        <f>MROUND((-'[11]11.2 Restricted &amp; unrestricted'!D$8*1000),1000)</f>
        <v>1000</v>
      </c>
      <c r="E62" s="356">
        <v>0</v>
      </c>
      <c r="F62" s="356">
        <v>0</v>
      </c>
      <c r="G62" s="354">
        <v>0</v>
      </c>
      <c r="H62" s="372"/>
      <c r="I62" s="356"/>
      <c r="J62" s="356"/>
      <c r="K62" s="356"/>
      <c r="L62" s="356"/>
      <c r="M62" s="354"/>
      <c r="N62" s="270"/>
      <c r="O62" s="270"/>
      <c r="P62" s="270"/>
      <c r="Q62" s="270"/>
      <c r="R62" s="270"/>
    </row>
    <row r="63" spans="1:18" s="225" customFormat="1" ht="12.75" customHeight="1" x14ac:dyDescent="0.2">
      <c r="A63" s="270"/>
      <c r="B63" s="231" t="s">
        <v>314</v>
      </c>
      <c r="C63" s="356">
        <f>MROUND(('[11]11.2 Restricted &amp; unrestricted'!C$11*1000),1000)+1000</f>
        <v>2260000</v>
      </c>
      <c r="D63" s="356">
        <f>MROUND(('[11]11.2 Restricted &amp; unrestricted'!D$11*1000),1000)+1000</f>
        <v>2177000</v>
      </c>
      <c r="E63" s="356">
        <f>MROUND(((('[12]Balance Sheet'!E$9+'[12]Balance Sheet'!E$11)*1000)-(SUM(E59:E62))),1000)</f>
        <v>2528000</v>
      </c>
      <c r="F63" s="356">
        <f>MROUND(((('[12]Balance Sheet'!F$9+'[12]Balance Sheet'!F$11)*1000)-(SUM(F59:F62))),1000)</f>
        <v>1856000</v>
      </c>
      <c r="G63" s="356">
        <f>MROUND(((('[12]Balance Sheet'!G$9+'[12]Balance Sheet'!G$11)*1000)-(SUM(G59:G62))),1000)</f>
        <v>1844000</v>
      </c>
      <c r="H63" s="372"/>
      <c r="I63" s="356"/>
      <c r="J63" s="356"/>
      <c r="K63" s="356"/>
      <c r="L63" s="356"/>
      <c r="M63" s="354"/>
      <c r="N63" s="270"/>
      <c r="O63" s="270"/>
      <c r="P63" s="270"/>
      <c r="Q63" s="270"/>
      <c r="R63" s="270"/>
    </row>
    <row r="64" spans="1:18" s="225" customFormat="1" ht="12.75" customHeight="1" x14ac:dyDescent="0.2">
      <c r="A64" s="270"/>
      <c r="B64" s="231" t="s">
        <v>301</v>
      </c>
      <c r="C64" s="356">
        <f>MROUND(('[12]Balance Sheet'!C$10*1000),1000)</f>
        <v>350000</v>
      </c>
      <c r="D64" s="356">
        <f>MROUND(('[12]Balance Sheet'!D$10*1000),1000)</f>
        <v>350000</v>
      </c>
      <c r="E64" s="356">
        <f>MROUND(('[12]Balance Sheet'!E$10*1000),1000)</f>
        <v>350000</v>
      </c>
      <c r="F64" s="356">
        <f>MROUND(('[12]Balance Sheet'!F$10*1000),1000)</f>
        <v>350000</v>
      </c>
      <c r="G64" s="356">
        <f>MROUND(('[12]Balance Sheet'!G$10*1000),1000)</f>
        <v>350000</v>
      </c>
      <c r="H64" s="372"/>
      <c r="I64" s="356"/>
      <c r="J64" s="356"/>
      <c r="K64" s="356"/>
      <c r="L64" s="356"/>
      <c r="M64" s="354"/>
      <c r="N64" s="270"/>
      <c r="O64" s="270"/>
      <c r="P64" s="270"/>
      <c r="Q64" s="270"/>
      <c r="R64" s="270"/>
    </row>
    <row r="65" spans="1:18" s="225" customFormat="1" ht="12.75" customHeight="1" x14ac:dyDescent="0.2">
      <c r="A65" s="270"/>
      <c r="B65" s="231" t="s">
        <v>278</v>
      </c>
      <c r="C65" s="356">
        <f>MROUND(('[12]Balance Sheet'!C$12*1000),1000)</f>
        <v>5000</v>
      </c>
      <c r="D65" s="356">
        <f>MROUND(('[12]Balance Sheet'!D$12*1000),1000)</f>
        <v>5000</v>
      </c>
      <c r="E65" s="356">
        <f>MROUND(('[12]Balance Sheet'!E$12*1000),1000)</f>
        <v>5000</v>
      </c>
      <c r="F65" s="356">
        <f>MROUND(('[12]Balance Sheet'!F$12*1000),1000)</f>
        <v>5000</v>
      </c>
      <c r="G65" s="356">
        <f>MROUND(('[12]Balance Sheet'!G$12*1000),1000)</f>
        <v>5000</v>
      </c>
      <c r="H65" s="372"/>
      <c r="I65" s="356"/>
      <c r="J65" s="356"/>
      <c r="K65" s="356"/>
      <c r="L65" s="356"/>
      <c r="M65" s="354"/>
      <c r="N65" s="270"/>
      <c r="O65" s="270"/>
      <c r="P65" s="270"/>
      <c r="Q65" s="270"/>
      <c r="R65" s="270"/>
    </row>
    <row r="66" spans="1:18" s="225" customFormat="1" ht="12.75" customHeight="1" x14ac:dyDescent="0.2">
      <c r="A66" s="270"/>
      <c r="B66" s="231" t="s">
        <v>279</v>
      </c>
      <c r="C66" s="356">
        <f>MROUND(('[12]Balance Sheet'!C$13*1000),1000)</f>
        <v>0</v>
      </c>
      <c r="D66" s="356">
        <f>MROUND(('[12]Balance Sheet'!D$13*1000),1000)</f>
        <v>0</v>
      </c>
      <c r="E66" s="356">
        <f>MROUND(('[12]Balance Sheet'!E$13*1000),1000)</f>
        <v>0</v>
      </c>
      <c r="F66" s="356">
        <f>MROUND(('[12]Balance Sheet'!F$13*1000),1000)</f>
        <v>0</v>
      </c>
      <c r="G66" s="356">
        <f>MROUND(('[12]Balance Sheet'!G$13*1000),1000)</f>
        <v>0</v>
      </c>
      <c r="H66" s="372"/>
      <c r="I66" s="356"/>
      <c r="J66" s="356"/>
      <c r="K66" s="356"/>
      <c r="L66" s="356"/>
      <c r="M66" s="354"/>
      <c r="N66" s="270"/>
      <c r="O66" s="270"/>
      <c r="P66" s="270"/>
      <c r="Q66" s="270"/>
      <c r="R66" s="270"/>
    </row>
    <row r="67" spans="1:18" s="225" customFormat="1" ht="12.75" customHeight="1" x14ac:dyDescent="0.2">
      <c r="A67" s="270"/>
      <c r="B67" s="231" t="s">
        <v>280</v>
      </c>
      <c r="C67" s="356">
        <f>MROUND(('[12]Balance Sheet'!C$14*1000),1000)</f>
        <v>200000</v>
      </c>
      <c r="D67" s="356">
        <f>MROUND(('[12]Balance Sheet'!D$14*1000),1000)</f>
        <v>200000</v>
      </c>
      <c r="E67" s="356">
        <f>MROUND(('[12]Balance Sheet'!E$14*1000),1000)</f>
        <v>200000</v>
      </c>
      <c r="F67" s="356">
        <f>MROUND(('[12]Balance Sheet'!F$14*1000),1000)</f>
        <v>200000</v>
      </c>
      <c r="G67" s="356">
        <f>MROUND(('[12]Balance Sheet'!G$14*1000),1000)</f>
        <v>200000</v>
      </c>
      <c r="H67" s="372"/>
      <c r="I67" s="356"/>
      <c r="J67" s="356"/>
      <c r="K67" s="356"/>
      <c r="L67" s="356"/>
      <c r="M67" s="354"/>
      <c r="N67" s="270"/>
      <c r="O67" s="270"/>
      <c r="P67" s="270"/>
      <c r="Q67" s="270"/>
      <c r="R67" s="270"/>
    </row>
    <row r="68" spans="1:18" s="225" customFormat="1" ht="12.75" customHeight="1" x14ac:dyDescent="0.2">
      <c r="A68" s="270"/>
      <c r="B68" s="231" t="s">
        <v>281</v>
      </c>
      <c r="C68" s="355">
        <f>SUM(C59:C67)</f>
        <v>4402000</v>
      </c>
      <c r="D68" s="355">
        <f t="shared" ref="D68:M68" si="18">SUM(D59:D67)</f>
        <v>3965000</v>
      </c>
      <c r="E68" s="355">
        <f t="shared" si="18"/>
        <v>3170000</v>
      </c>
      <c r="F68" s="355">
        <f t="shared" si="18"/>
        <v>2498000</v>
      </c>
      <c r="G68" s="378">
        <f t="shared" si="18"/>
        <v>2486000</v>
      </c>
      <c r="H68" s="355">
        <f t="shared" si="18"/>
        <v>0</v>
      </c>
      <c r="I68" s="355">
        <f t="shared" si="18"/>
        <v>0</v>
      </c>
      <c r="J68" s="355">
        <f t="shared" si="18"/>
        <v>0</v>
      </c>
      <c r="K68" s="355">
        <f t="shared" si="18"/>
        <v>0</v>
      </c>
      <c r="L68" s="355">
        <f t="shared" si="18"/>
        <v>0</v>
      </c>
      <c r="M68" s="355">
        <f t="shared" si="18"/>
        <v>0</v>
      </c>
      <c r="N68" s="270"/>
      <c r="O68" s="270"/>
      <c r="P68" s="270"/>
      <c r="Q68" s="270"/>
      <c r="R68" s="270"/>
    </row>
    <row r="69" spans="1:18" s="225" customFormat="1" ht="12.75" customHeight="1" x14ac:dyDescent="0.2">
      <c r="A69" s="270"/>
      <c r="B69" s="282"/>
      <c r="C69" s="430"/>
      <c r="D69" s="430"/>
      <c r="E69" s="430"/>
      <c r="F69" s="430"/>
      <c r="G69" s="431"/>
      <c r="H69" s="432"/>
      <c r="I69" s="430"/>
      <c r="J69" s="430"/>
      <c r="K69" s="430"/>
      <c r="L69" s="430"/>
      <c r="M69" s="431"/>
      <c r="N69" s="270"/>
      <c r="O69" s="270"/>
      <c r="P69" s="270"/>
      <c r="Q69" s="270"/>
      <c r="R69" s="270"/>
    </row>
    <row r="70" spans="1:18" s="225" customFormat="1" ht="12.75" customHeight="1" x14ac:dyDescent="0.2">
      <c r="A70" s="270"/>
      <c r="B70" s="282" t="s">
        <v>282</v>
      </c>
      <c r="C70" s="430"/>
      <c r="D70" s="430"/>
      <c r="E70" s="430"/>
      <c r="F70" s="430"/>
      <c r="G70" s="431"/>
      <c r="H70" s="432"/>
      <c r="I70" s="430"/>
      <c r="J70" s="430"/>
      <c r="K70" s="430"/>
      <c r="L70" s="430"/>
      <c r="M70" s="431"/>
      <c r="N70" s="270"/>
      <c r="O70" s="270"/>
      <c r="P70" s="270"/>
      <c r="Q70" s="270"/>
      <c r="R70" s="270"/>
    </row>
    <row r="71" spans="1:18" s="225" customFormat="1" ht="12.75" customHeight="1" x14ac:dyDescent="0.2">
      <c r="A71" s="270"/>
      <c r="B71" s="231" t="s">
        <v>301</v>
      </c>
      <c r="C71" s="356">
        <f>MROUND(('[12]Balance Sheet'!C18*1000),1000)</f>
        <v>0</v>
      </c>
      <c r="D71" s="356">
        <f>MROUND(('[12]Balance Sheet'!D18*1000),1000)</f>
        <v>0</v>
      </c>
      <c r="E71" s="356">
        <f>MROUND(('[12]Balance Sheet'!E18*1000),1000)</f>
        <v>0</v>
      </c>
      <c r="F71" s="356">
        <f>MROUND(('[12]Balance Sheet'!F18*1000),1000)</f>
        <v>0</v>
      </c>
      <c r="G71" s="356">
        <f>MROUND(('[12]Balance Sheet'!G18*1000),1000)</f>
        <v>0</v>
      </c>
      <c r="H71" s="372"/>
      <c r="I71" s="356"/>
      <c r="J71" s="356"/>
      <c r="K71" s="356"/>
      <c r="L71" s="356"/>
      <c r="M71" s="354"/>
      <c r="N71" s="270"/>
      <c r="O71" s="270"/>
      <c r="P71" s="270"/>
      <c r="Q71" s="270"/>
      <c r="R71" s="270"/>
    </row>
    <row r="72" spans="1:18" s="225" customFormat="1" ht="12.75" customHeight="1" x14ac:dyDescent="0.2">
      <c r="A72" s="270"/>
      <c r="B72" s="231" t="s">
        <v>283</v>
      </c>
      <c r="C72" s="356">
        <f>MROUND(('[12]Balance Sheet'!C19*1000),1000)</f>
        <v>240000</v>
      </c>
      <c r="D72" s="356">
        <f>MROUND(('[12]Balance Sheet'!D19*1000),1000)</f>
        <v>240000</v>
      </c>
      <c r="E72" s="356">
        <f>MROUND(('[12]Balance Sheet'!E19*1000),1000)</f>
        <v>240000</v>
      </c>
      <c r="F72" s="356">
        <f>MROUND(('[12]Balance Sheet'!F19*1000),1000)</f>
        <v>240000</v>
      </c>
      <c r="G72" s="356">
        <f>MROUND(('[12]Balance Sheet'!G19*1000),1000)</f>
        <v>240000</v>
      </c>
      <c r="H72" s="372"/>
      <c r="I72" s="356"/>
      <c r="J72" s="356"/>
      <c r="K72" s="356"/>
      <c r="L72" s="356"/>
      <c r="M72" s="354"/>
      <c r="N72" s="270"/>
      <c r="O72" s="270"/>
      <c r="P72" s="270"/>
      <c r="Q72" s="270"/>
      <c r="R72" s="270"/>
    </row>
    <row r="73" spans="1:18" s="225" customFormat="1" ht="12.75" customHeight="1" x14ac:dyDescent="0.2">
      <c r="A73" s="270"/>
      <c r="B73" s="231" t="s">
        <v>284</v>
      </c>
      <c r="C73" s="356">
        <f>MROUND(('[12]Balance Sheet'!C20*1000),1000)</f>
        <v>126209000</v>
      </c>
      <c r="D73" s="356">
        <f>MROUND(('[12]Balance Sheet'!D20*1000),1000)</f>
        <v>129166000</v>
      </c>
      <c r="E73" s="356">
        <f>MROUND(('[12]Balance Sheet'!E20*1000),1000)</f>
        <v>137215000</v>
      </c>
      <c r="F73" s="356">
        <f>MROUND(('[12]Balance Sheet'!F20*1000),1000)</f>
        <v>137814000</v>
      </c>
      <c r="G73" s="356">
        <f>MROUND(('[12]Balance Sheet'!G20*1000),1000)</f>
        <v>138290000</v>
      </c>
      <c r="H73" s="372"/>
      <c r="I73" s="356"/>
      <c r="J73" s="356"/>
      <c r="K73" s="356"/>
      <c r="L73" s="356"/>
      <c r="M73" s="354"/>
      <c r="N73" s="270"/>
      <c r="O73" s="270"/>
      <c r="P73" s="270"/>
      <c r="Q73" s="270"/>
      <c r="R73" s="270"/>
    </row>
    <row r="74" spans="1:18" s="225" customFormat="1" ht="12.75" customHeight="1" x14ac:dyDescent="0.2">
      <c r="A74" s="270"/>
      <c r="B74" s="231" t="s">
        <v>285</v>
      </c>
      <c r="C74" s="356">
        <v>0</v>
      </c>
      <c r="D74" s="356">
        <v>0</v>
      </c>
      <c r="E74" s="356">
        <v>0</v>
      </c>
      <c r="F74" s="356">
        <v>0</v>
      </c>
      <c r="G74" s="356">
        <v>0</v>
      </c>
      <c r="H74" s="372"/>
      <c r="I74" s="356"/>
      <c r="J74" s="356"/>
      <c r="K74" s="356"/>
      <c r="L74" s="356"/>
      <c r="M74" s="354"/>
      <c r="N74" s="270"/>
      <c r="O74" s="270"/>
      <c r="P74" s="270"/>
      <c r="Q74" s="270"/>
      <c r="R74" s="270"/>
    </row>
    <row r="75" spans="1:18" s="225" customFormat="1" ht="12.75" customHeight="1" x14ac:dyDescent="0.2">
      <c r="A75" s="270"/>
      <c r="B75" s="231" t="s">
        <v>286</v>
      </c>
      <c r="C75" s="356">
        <v>0</v>
      </c>
      <c r="D75" s="356">
        <v>0</v>
      </c>
      <c r="E75" s="356">
        <v>0</v>
      </c>
      <c r="F75" s="356">
        <v>0</v>
      </c>
      <c r="G75" s="356">
        <v>0</v>
      </c>
      <c r="H75" s="372"/>
      <c r="I75" s="356"/>
      <c r="J75" s="356"/>
      <c r="K75" s="356"/>
      <c r="L75" s="356"/>
      <c r="M75" s="354"/>
      <c r="N75" s="270"/>
      <c r="O75" s="270"/>
      <c r="P75" s="270"/>
      <c r="Q75" s="270"/>
      <c r="R75" s="270"/>
    </row>
    <row r="76" spans="1:18" s="225" customFormat="1" ht="12.75" customHeight="1" x14ac:dyDescent="0.2">
      <c r="A76" s="270"/>
      <c r="B76" s="231" t="s">
        <v>287</v>
      </c>
      <c r="C76" s="355">
        <f t="shared" ref="C76:M76" si="19">SUM(C71:C75)</f>
        <v>126449000</v>
      </c>
      <c r="D76" s="355">
        <f t="shared" si="19"/>
        <v>129406000</v>
      </c>
      <c r="E76" s="355">
        <f t="shared" si="19"/>
        <v>137455000</v>
      </c>
      <c r="F76" s="355">
        <f t="shared" si="19"/>
        <v>138054000</v>
      </c>
      <c r="G76" s="378">
        <f t="shared" si="19"/>
        <v>138530000</v>
      </c>
      <c r="H76" s="381">
        <f t="shared" si="19"/>
        <v>0</v>
      </c>
      <c r="I76" s="355">
        <f t="shared" si="19"/>
        <v>0</v>
      </c>
      <c r="J76" s="355">
        <f t="shared" si="19"/>
        <v>0</v>
      </c>
      <c r="K76" s="355">
        <f t="shared" si="19"/>
        <v>0</v>
      </c>
      <c r="L76" s="355">
        <f t="shared" si="19"/>
        <v>0</v>
      </c>
      <c r="M76" s="378">
        <f t="shared" si="19"/>
        <v>0</v>
      </c>
      <c r="N76" s="270"/>
      <c r="O76" s="270"/>
      <c r="P76" s="270"/>
      <c r="Q76" s="270"/>
      <c r="R76" s="270"/>
    </row>
    <row r="77" spans="1:18" s="225" customFormat="1" ht="12.75" customHeight="1" x14ac:dyDescent="0.2">
      <c r="A77" s="270"/>
      <c r="B77" s="231" t="s">
        <v>145</v>
      </c>
      <c r="C77" s="355">
        <f t="shared" ref="C77:M77" si="20">C76+C68</f>
        <v>130851000</v>
      </c>
      <c r="D77" s="355">
        <f t="shared" si="20"/>
        <v>133371000</v>
      </c>
      <c r="E77" s="355">
        <f t="shared" si="20"/>
        <v>140625000</v>
      </c>
      <c r="F77" s="355">
        <f t="shared" si="20"/>
        <v>140552000</v>
      </c>
      <c r="G77" s="378">
        <f t="shared" si="20"/>
        <v>141016000</v>
      </c>
      <c r="H77" s="381">
        <f t="shared" si="20"/>
        <v>0</v>
      </c>
      <c r="I77" s="355">
        <f t="shared" si="20"/>
        <v>0</v>
      </c>
      <c r="J77" s="355">
        <f t="shared" si="20"/>
        <v>0</v>
      </c>
      <c r="K77" s="355">
        <f t="shared" si="20"/>
        <v>0</v>
      </c>
      <c r="L77" s="355">
        <f t="shared" si="20"/>
        <v>0</v>
      </c>
      <c r="M77" s="378">
        <f t="shared" si="20"/>
        <v>0</v>
      </c>
      <c r="N77" s="270"/>
      <c r="O77" s="270"/>
      <c r="P77" s="270"/>
      <c r="Q77" s="270"/>
      <c r="R77" s="270"/>
    </row>
    <row r="78" spans="1:18" s="225" customFormat="1" ht="12.75" customHeight="1" x14ac:dyDescent="0.2">
      <c r="A78" s="270"/>
      <c r="B78" s="282"/>
      <c r="C78" s="430"/>
      <c r="D78" s="430"/>
      <c r="E78" s="430"/>
      <c r="F78" s="430"/>
      <c r="G78" s="431"/>
      <c r="H78" s="432"/>
      <c r="I78" s="430"/>
      <c r="J78" s="430"/>
      <c r="K78" s="430"/>
      <c r="L78" s="430"/>
      <c r="M78" s="431"/>
      <c r="N78" s="270"/>
      <c r="O78" s="270"/>
      <c r="P78" s="270"/>
      <c r="Q78" s="270"/>
      <c r="R78" s="270"/>
    </row>
    <row r="79" spans="1:18" s="225" customFormat="1" ht="12.75" customHeight="1" x14ac:dyDescent="0.2">
      <c r="A79" s="270"/>
      <c r="B79" s="336" t="s">
        <v>288</v>
      </c>
      <c r="C79" s="430"/>
      <c r="D79" s="430"/>
      <c r="E79" s="430"/>
      <c r="F79" s="430"/>
      <c r="G79" s="431"/>
      <c r="H79" s="432"/>
      <c r="I79" s="430"/>
      <c r="J79" s="430"/>
      <c r="K79" s="430"/>
      <c r="L79" s="430"/>
      <c r="M79" s="431"/>
      <c r="N79" s="270"/>
      <c r="O79" s="270"/>
      <c r="P79" s="270"/>
      <c r="Q79" s="270"/>
      <c r="R79" s="270"/>
    </row>
    <row r="80" spans="1:18" s="225" customFormat="1" ht="12.75" customHeight="1" x14ac:dyDescent="0.2">
      <c r="A80" s="270"/>
      <c r="B80" s="282" t="s">
        <v>289</v>
      </c>
      <c r="C80" s="430"/>
      <c r="D80" s="430"/>
      <c r="E80" s="430"/>
      <c r="F80" s="430"/>
      <c r="G80" s="431"/>
      <c r="H80" s="432"/>
      <c r="I80" s="430"/>
      <c r="J80" s="430"/>
      <c r="K80" s="430"/>
      <c r="L80" s="430"/>
      <c r="M80" s="431"/>
      <c r="N80" s="270"/>
      <c r="O80" s="270"/>
      <c r="P80" s="270"/>
      <c r="Q80" s="270"/>
      <c r="R80" s="270"/>
    </row>
    <row r="81" spans="1:18" s="225" customFormat="1" ht="12.75" customHeight="1" x14ac:dyDescent="0.2">
      <c r="A81" s="270"/>
      <c r="B81" s="231" t="s">
        <v>290</v>
      </c>
      <c r="C81" s="356">
        <f>MROUND(('[12]Balance Sheet'!C26*1000),1000)</f>
        <v>592000</v>
      </c>
      <c r="D81" s="356">
        <f>MROUND(('[12]Balance Sheet'!D26*1000),1000)</f>
        <v>835000</v>
      </c>
      <c r="E81" s="356">
        <f>MROUND(('[12]Balance Sheet'!E26*1000),1000)</f>
        <v>1371000</v>
      </c>
      <c r="F81" s="356">
        <f>MROUND(('[12]Balance Sheet'!F26*1000),1000)</f>
        <v>644000</v>
      </c>
      <c r="G81" s="356">
        <f>MROUND(('[12]Balance Sheet'!G26*1000),1000)</f>
        <v>646000</v>
      </c>
      <c r="H81" s="372"/>
      <c r="I81" s="356"/>
      <c r="J81" s="356"/>
      <c r="K81" s="356"/>
      <c r="L81" s="356"/>
      <c r="M81" s="354"/>
      <c r="N81" s="270"/>
      <c r="O81" s="270"/>
      <c r="P81" s="270"/>
      <c r="Q81" s="270"/>
      <c r="R81" s="270"/>
    </row>
    <row r="82" spans="1:18" s="225" customFormat="1" ht="12.75" customHeight="1" x14ac:dyDescent="0.2">
      <c r="A82" s="270"/>
      <c r="B82" s="231" t="s">
        <v>291</v>
      </c>
      <c r="C82" s="356">
        <f>MROUND(('[12]Balance Sheet'!C27*1000),1000)</f>
        <v>87000</v>
      </c>
      <c r="D82" s="356">
        <f>MROUND(('[12]Balance Sheet'!D27*1000),1000)</f>
        <v>87000</v>
      </c>
      <c r="E82" s="356">
        <f>MROUND(('[12]Balance Sheet'!E27*1000),1000)</f>
        <v>87000</v>
      </c>
      <c r="F82" s="356">
        <f>MROUND(('[12]Balance Sheet'!F27*1000),1000)</f>
        <v>87000</v>
      </c>
      <c r="G82" s="356">
        <f>MROUND(('[12]Balance Sheet'!G27*1000),1000)</f>
        <v>87000</v>
      </c>
      <c r="H82" s="372"/>
      <c r="I82" s="356"/>
      <c r="J82" s="356"/>
      <c r="K82" s="356"/>
      <c r="L82" s="356"/>
      <c r="M82" s="354"/>
      <c r="N82" s="270"/>
      <c r="O82" s="270"/>
      <c r="P82" s="270"/>
      <c r="Q82" s="270"/>
      <c r="R82" s="270"/>
    </row>
    <row r="83" spans="1:18" s="225" customFormat="1" ht="12.75" customHeight="1" x14ac:dyDescent="0.2">
      <c r="A83" s="270"/>
      <c r="B83" s="231" t="s">
        <v>302</v>
      </c>
      <c r="C83" s="356">
        <f>MROUND(('[12]Balance Sheet'!C28*1000),1000)</f>
        <v>910000</v>
      </c>
      <c r="D83" s="356">
        <f>MROUND(('[12]Balance Sheet'!D28*1000),1000)</f>
        <v>933000</v>
      </c>
      <c r="E83" s="356">
        <f>MROUND(('[12]Balance Sheet'!E28*1000),1000)</f>
        <v>956000</v>
      </c>
      <c r="F83" s="356">
        <f>MROUND(('[12]Balance Sheet'!F28*1000),1000)</f>
        <v>980000</v>
      </c>
      <c r="G83" s="356">
        <f>MROUND(('[12]Balance Sheet'!G28*1000),1000)</f>
        <v>1005000</v>
      </c>
      <c r="H83" s="372"/>
      <c r="I83" s="356"/>
      <c r="J83" s="356"/>
      <c r="K83" s="356"/>
      <c r="L83" s="356"/>
      <c r="M83" s="354"/>
      <c r="N83" s="270"/>
      <c r="O83" s="270"/>
      <c r="P83" s="270"/>
      <c r="Q83" s="270"/>
      <c r="R83" s="270"/>
    </row>
    <row r="84" spans="1:18" s="225" customFormat="1" ht="12.75" customHeight="1" x14ac:dyDescent="0.2">
      <c r="A84" s="270"/>
      <c r="B84" s="231" t="s">
        <v>292</v>
      </c>
      <c r="C84" s="356">
        <f>MROUND(('[12]Balance Sheet'!C29*1000),1000)</f>
        <v>107000</v>
      </c>
      <c r="D84" s="356">
        <f>MROUND(('[12]Balance Sheet'!D29*1000),1000)</f>
        <v>78000</v>
      </c>
      <c r="E84" s="356">
        <f>MROUND(('[12]Balance Sheet'!E29*1000),1000)</f>
        <v>86000</v>
      </c>
      <c r="F84" s="356">
        <f>MROUND(('[12]Balance Sheet'!F29*1000),1000)</f>
        <v>95000</v>
      </c>
      <c r="G84" s="356">
        <f>MROUND(('[12]Balance Sheet'!G29*1000),1000)</f>
        <v>80000</v>
      </c>
      <c r="H84" s="372"/>
      <c r="I84" s="356"/>
      <c r="J84" s="356"/>
      <c r="K84" s="356"/>
      <c r="L84" s="356"/>
      <c r="M84" s="354"/>
      <c r="N84" s="270"/>
      <c r="O84" s="270"/>
      <c r="P84" s="270"/>
      <c r="Q84" s="270"/>
      <c r="R84" s="270"/>
    </row>
    <row r="85" spans="1:18" s="225" customFormat="1" ht="12.75" customHeight="1" x14ac:dyDescent="0.2">
      <c r="A85" s="270"/>
      <c r="B85" s="231" t="s">
        <v>503</v>
      </c>
      <c r="C85" s="356">
        <f>MROUND(('[12]Balance Sheet'!C30*1000),1000)</f>
        <v>75000</v>
      </c>
      <c r="D85" s="356">
        <f>MROUND(('[12]Balance Sheet'!D30*1000),1000)</f>
        <v>75000</v>
      </c>
      <c r="E85" s="356">
        <f>MROUND(('[12]Balance Sheet'!E30*1000),1000)</f>
        <v>75000</v>
      </c>
      <c r="F85" s="356">
        <f>MROUND(('[12]Balance Sheet'!F30*1000),1000)</f>
        <v>75000</v>
      </c>
      <c r="G85" s="356">
        <f>MROUND(('[12]Balance Sheet'!G30*1000),1000)</f>
        <v>75000</v>
      </c>
      <c r="H85" s="372"/>
      <c r="I85" s="356"/>
      <c r="J85" s="356"/>
      <c r="K85" s="356"/>
      <c r="L85" s="356"/>
      <c r="M85" s="354"/>
      <c r="N85" s="270"/>
      <c r="O85" s="270"/>
      <c r="P85" s="270"/>
      <c r="Q85" s="270"/>
      <c r="R85" s="270"/>
    </row>
    <row r="86" spans="1:18" s="225" customFormat="1" ht="12.75" customHeight="1" x14ac:dyDescent="0.2">
      <c r="A86" s="270"/>
      <c r="B86" s="231" t="s">
        <v>293</v>
      </c>
      <c r="C86" s="355">
        <f>SUM(C81:C85)</f>
        <v>1771000</v>
      </c>
      <c r="D86" s="355">
        <f t="shared" ref="D86:M86" si="21">SUM(D81:D85)</f>
        <v>2008000</v>
      </c>
      <c r="E86" s="355">
        <f t="shared" si="21"/>
        <v>2575000</v>
      </c>
      <c r="F86" s="355">
        <f t="shared" si="21"/>
        <v>1881000</v>
      </c>
      <c r="G86" s="378">
        <f t="shared" si="21"/>
        <v>1893000</v>
      </c>
      <c r="H86" s="381">
        <f t="shared" si="21"/>
        <v>0</v>
      </c>
      <c r="I86" s="355">
        <f t="shared" si="21"/>
        <v>0</v>
      </c>
      <c r="J86" s="355">
        <f t="shared" si="21"/>
        <v>0</v>
      </c>
      <c r="K86" s="355">
        <f t="shared" si="21"/>
        <v>0</v>
      </c>
      <c r="L86" s="355">
        <f t="shared" si="21"/>
        <v>0</v>
      </c>
      <c r="M86" s="378">
        <f t="shared" si="21"/>
        <v>0</v>
      </c>
      <c r="N86" s="270"/>
      <c r="O86" s="270"/>
      <c r="P86" s="270"/>
      <c r="Q86" s="270"/>
      <c r="R86" s="270"/>
    </row>
    <row r="87" spans="1:18" s="225" customFormat="1" ht="12.75" customHeight="1" x14ac:dyDescent="0.2">
      <c r="A87" s="270"/>
      <c r="B87" s="282"/>
      <c r="C87" s="430"/>
      <c r="D87" s="430"/>
      <c r="E87" s="430"/>
      <c r="F87" s="430"/>
      <c r="G87" s="431"/>
      <c r="H87" s="432"/>
      <c r="I87" s="430"/>
      <c r="J87" s="430"/>
      <c r="K87" s="430"/>
      <c r="L87" s="430"/>
      <c r="M87" s="431"/>
      <c r="N87" s="270"/>
      <c r="O87" s="270"/>
      <c r="P87" s="270"/>
      <c r="Q87" s="270"/>
      <c r="R87" s="270"/>
    </row>
    <row r="88" spans="1:18" s="225" customFormat="1" ht="12.75" customHeight="1" x14ac:dyDescent="0.2">
      <c r="A88" s="270"/>
      <c r="B88" s="282" t="s">
        <v>294</v>
      </c>
      <c r="C88" s="430"/>
      <c r="D88" s="430"/>
      <c r="E88" s="430"/>
      <c r="F88" s="430"/>
      <c r="G88" s="431"/>
      <c r="H88" s="432"/>
      <c r="I88" s="430"/>
      <c r="J88" s="430"/>
      <c r="K88" s="430"/>
      <c r="L88" s="430"/>
      <c r="M88" s="431"/>
      <c r="N88" s="270"/>
      <c r="O88" s="270"/>
      <c r="P88" s="270"/>
      <c r="Q88" s="270"/>
      <c r="R88" s="270"/>
    </row>
    <row r="89" spans="1:18" s="225" customFormat="1" ht="12.75" customHeight="1" x14ac:dyDescent="0.2">
      <c r="A89" s="270"/>
      <c r="B89" s="231" t="s">
        <v>290</v>
      </c>
      <c r="C89" s="356">
        <v>0</v>
      </c>
      <c r="D89" s="356">
        <v>0</v>
      </c>
      <c r="E89" s="356">
        <v>0</v>
      </c>
      <c r="F89" s="356">
        <v>0</v>
      </c>
      <c r="G89" s="356">
        <v>0</v>
      </c>
      <c r="H89" s="372"/>
      <c r="I89" s="356"/>
      <c r="J89" s="356"/>
      <c r="K89" s="356"/>
      <c r="L89" s="356"/>
      <c r="M89" s="354"/>
      <c r="N89" s="270"/>
      <c r="O89" s="270"/>
      <c r="P89" s="270"/>
      <c r="Q89" s="270"/>
      <c r="R89" s="270"/>
    </row>
    <row r="90" spans="1:18" s="225" customFormat="1" ht="12.75" customHeight="1" x14ac:dyDescent="0.2">
      <c r="A90" s="270"/>
      <c r="B90" s="231" t="s">
        <v>302</v>
      </c>
      <c r="C90" s="356">
        <f>MROUND(('[12]Balance Sheet'!C34*1000),1000)</f>
        <v>64000</v>
      </c>
      <c r="D90" s="356">
        <f>MROUND(('[12]Balance Sheet'!D34*1000),1000)</f>
        <v>66000</v>
      </c>
      <c r="E90" s="356">
        <f>MROUND(('[12]Balance Sheet'!E34*1000),1000)</f>
        <v>67000</v>
      </c>
      <c r="F90" s="356">
        <f>MROUND(('[12]Balance Sheet'!F34*1000),1000)</f>
        <v>69000</v>
      </c>
      <c r="G90" s="356">
        <f>MROUND(('[12]Balance Sheet'!G34*1000),1000)</f>
        <v>71000</v>
      </c>
      <c r="H90" s="372"/>
      <c r="I90" s="356"/>
      <c r="J90" s="356"/>
      <c r="K90" s="356"/>
      <c r="L90" s="356"/>
      <c r="M90" s="354"/>
      <c r="N90" s="270"/>
      <c r="O90" s="270"/>
      <c r="P90" s="270"/>
      <c r="Q90" s="270"/>
      <c r="R90" s="270"/>
    </row>
    <row r="91" spans="1:18" s="225" customFormat="1" ht="12.75" customHeight="1" x14ac:dyDescent="0.2">
      <c r="A91" s="270"/>
      <c r="B91" s="231" t="s">
        <v>292</v>
      </c>
      <c r="C91" s="356">
        <f>MROUND(('[12]Balance Sheet'!C35*1000),1000)</f>
        <v>0</v>
      </c>
      <c r="D91" s="356">
        <f>MROUND(('[12]Balance Sheet'!D35*1000),1000)</f>
        <v>155000</v>
      </c>
      <c r="E91" s="356">
        <f>MROUND(('[12]Balance Sheet'!E35*1000),1000)</f>
        <v>403000</v>
      </c>
      <c r="F91" s="356">
        <f>MROUND(('[12]Balance Sheet'!F35*1000),1000)</f>
        <v>624000</v>
      </c>
      <c r="G91" s="356">
        <f>MROUND(('[12]Balance Sheet'!G35*1000),1000)</f>
        <v>553000</v>
      </c>
      <c r="H91" s="372"/>
      <c r="I91" s="356"/>
      <c r="J91" s="356"/>
      <c r="K91" s="356"/>
      <c r="L91" s="356"/>
      <c r="M91" s="354"/>
      <c r="N91" s="270"/>
      <c r="O91" s="270"/>
      <c r="P91" s="270"/>
      <c r="Q91" s="270"/>
      <c r="R91" s="270"/>
    </row>
    <row r="92" spans="1:18" s="225" customFormat="1" ht="12.75" customHeight="1" x14ac:dyDescent="0.2">
      <c r="A92" s="270"/>
      <c r="B92" s="231" t="s">
        <v>295</v>
      </c>
      <c r="C92" s="355">
        <f t="shared" ref="C92:M92" si="22">SUM(C89:C91)</f>
        <v>64000</v>
      </c>
      <c r="D92" s="355">
        <f t="shared" si="22"/>
        <v>221000</v>
      </c>
      <c r="E92" s="355">
        <f t="shared" si="22"/>
        <v>470000</v>
      </c>
      <c r="F92" s="355">
        <f t="shared" si="22"/>
        <v>693000</v>
      </c>
      <c r="G92" s="378">
        <f t="shared" si="22"/>
        <v>624000</v>
      </c>
      <c r="H92" s="381">
        <f t="shared" si="22"/>
        <v>0</v>
      </c>
      <c r="I92" s="355">
        <f t="shared" si="22"/>
        <v>0</v>
      </c>
      <c r="J92" s="355">
        <f t="shared" si="22"/>
        <v>0</v>
      </c>
      <c r="K92" s="355">
        <f t="shared" si="22"/>
        <v>0</v>
      </c>
      <c r="L92" s="355">
        <f t="shared" si="22"/>
        <v>0</v>
      </c>
      <c r="M92" s="378">
        <f t="shared" si="22"/>
        <v>0</v>
      </c>
      <c r="N92" s="270"/>
      <c r="O92" s="270"/>
      <c r="P92" s="270"/>
      <c r="Q92" s="270"/>
      <c r="R92" s="270"/>
    </row>
    <row r="93" spans="1:18" s="225" customFormat="1" ht="12.75" customHeight="1" x14ac:dyDescent="0.2">
      <c r="A93" s="270"/>
      <c r="B93" s="231" t="s">
        <v>296</v>
      </c>
      <c r="C93" s="543">
        <f>C92+C86</f>
        <v>1835000</v>
      </c>
      <c r="D93" s="543">
        <f t="shared" ref="D93:M93" si="23">D92+D86</f>
        <v>2229000</v>
      </c>
      <c r="E93" s="543">
        <f t="shared" si="23"/>
        <v>3045000</v>
      </c>
      <c r="F93" s="543">
        <f t="shared" si="23"/>
        <v>2574000</v>
      </c>
      <c r="G93" s="544">
        <f t="shared" si="23"/>
        <v>2517000</v>
      </c>
      <c r="H93" s="545">
        <f t="shared" si="23"/>
        <v>0</v>
      </c>
      <c r="I93" s="543">
        <f t="shared" si="23"/>
        <v>0</v>
      </c>
      <c r="J93" s="543">
        <f t="shared" si="23"/>
        <v>0</v>
      </c>
      <c r="K93" s="543">
        <f t="shared" si="23"/>
        <v>0</v>
      </c>
      <c r="L93" s="543">
        <f t="shared" si="23"/>
        <v>0</v>
      </c>
      <c r="M93" s="544">
        <f t="shared" si="23"/>
        <v>0</v>
      </c>
      <c r="N93" s="270"/>
      <c r="O93" s="270"/>
      <c r="P93" s="270"/>
      <c r="Q93" s="270"/>
      <c r="R93" s="270"/>
    </row>
    <row r="94" spans="1:18" s="225" customFormat="1" ht="12.75" customHeight="1" x14ac:dyDescent="0.2">
      <c r="A94" s="270"/>
      <c r="B94" s="282"/>
      <c r="C94" s="430"/>
      <c r="D94" s="430"/>
      <c r="E94" s="430"/>
      <c r="F94" s="430"/>
      <c r="G94" s="431"/>
      <c r="H94" s="432"/>
      <c r="I94" s="430"/>
      <c r="J94" s="430"/>
      <c r="K94" s="430"/>
      <c r="L94" s="430"/>
      <c r="M94" s="431"/>
      <c r="N94" s="270"/>
      <c r="O94" s="270"/>
      <c r="P94" s="270"/>
      <c r="Q94" s="270"/>
      <c r="R94" s="270"/>
    </row>
    <row r="95" spans="1:18" s="225" customFormat="1" ht="12.75" customHeight="1" x14ac:dyDescent="0.2">
      <c r="A95" s="270"/>
      <c r="B95" s="231" t="s">
        <v>297</v>
      </c>
      <c r="C95" s="436">
        <f>C77-C93</f>
        <v>129016000</v>
      </c>
      <c r="D95" s="436">
        <f t="shared" ref="D95:M95" si="24">D77-D93</f>
        <v>131142000</v>
      </c>
      <c r="E95" s="436">
        <f t="shared" si="24"/>
        <v>137580000</v>
      </c>
      <c r="F95" s="436">
        <f t="shared" si="24"/>
        <v>137978000</v>
      </c>
      <c r="G95" s="437">
        <f t="shared" si="24"/>
        <v>138499000</v>
      </c>
      <c r="H95" s="438">
        <f t="shared" si="24"/>
        <v>0</v>
      </c>
      <c r="I95" s="436">
        <f t="shared" si="24"/>
        <v>0</v>
      </c>
      <c r="J95" s="436">
        <f t="shared" si="24"/>
        <v>0</v>
      </c>
      <c r="K95" s="436">
        <f t="shared" si="24"/>
        <v>0</v>
      </c>
      <c r="L95" s="436">
        <f t="shared" si="24"/>
        <v>0</v>
      </c>
      <c r="M95" s="437">
        <f t="shared" si="24"/>
        <v>0</v>
      </c>
      <c r="N95" s="270"/>
      <c r="O95" s="270"/>
      <c r="P95" s="270"/>
      <c r="Q95" s="270"/>
      <c r="R95" s="270"/>
    </row>
    <row r="96" spans="1:18" s="225" customFormat="1" ht="12.75" customHeight="1" x14ac:dyDescent="0.2">
      <c r="A96" s="270"/>
      <c r="B96" s="282"/>
      <c r="C96" s="430"/>
      <c r="D96" s="430"/>
      <c r="E96" s="430"/>
      <c r="F96" s="430"/>
      <c r="G96" s="431"/>
      <c r="H96" s="432"/>
      <c r="I96" s="430"/>
      <c r="J96" s="430"/>
      <c r="K96" s="430"/>
      <c r="L96" s="430"/>
      <c r="M96" s="431"/>
      <c r="N96" s="270"/>
      <c r="O96" s="270"/>
      <c r="P96" s="270"/>
      <c r="Q96" s="270"/>
      <c r="R96" s="270"/>
    </row>
    <row r="97" spans="1:18" s="225" customFormat="1" ht="12.75" customHeight="1" x14ac:dyDescent="0.2">
      <c r="A97" s="270"/>
      <c r="B97" s="336" t="s">
        <v>298</v>
      </c>
      <c r="C97" s="430"/>
      <c r="D97" s="430"/>
      <c r="E97" s="430"/>
      <c r="F97" s="430"/>
      <c r="G97" s="431"/>
      <c r="H97" s="432"/>
      <c r="I97" s="430"/>
      <c r="J97" s="430"/>
      <c r="K97" s="430"/>
      <c r="L97" s="430"/>
      <c r="M97" s="431"/>
      <c r="N97" s="270"/>
      <c r="O97" s="270"/>
      <c r="P97" s="270"/>
      <c r="Q97" s="270"/>
      <c r="R97" s="270"/>
    </row>
    <row r="98" spans="1:18" s="225" customFormat="1" ht="12.75" customHeight="1" x14ac:dyDescent="0.2">
      <c r="A98" s="270"/>
      <c r="B98" s="231" t="s">
        <v>299</v>
      </c>
      <c r="C98" s="356">
        <f>MROUND(('[12]Balance Sheet'!C$41*1000),1000)</f>
        <v>89707000</v>
      </c>
      <c r="D98" s="356">
        <f>MROUND(('[12]Balance Sheet'!D$41*1000),1000)</f>
        <v>92191000</v>
      </c>
      <c r="E98" s="356">
        <f>MROUND(('[12]Balance Sheet'!E$41*1000),1000)</f>
        <v>99984000</v>
      </c>
      <c r="F98" s="356">
        <f>MROUND(('[12]Balance Sheet'!F$41*1000),1000)</f>
        <v>100353000</v>
      </c>
      <c r="G98" s="356">
        <f>MROUND(('[12]Balance Sheet'!G$41*1000),1000)</f>
        <v>100914000</v>
      </c>
      <c r="H98" s="372"/>
      <c r="I98" s="356"/>
      <c r="J98" s="356"/>
      <c r="K98" s="356"/>
      <c r="L98" s="356"/>
      <c r="M98" s="354"/>
      <c r="N98" s="270"/>
      <c r="O98" s="270"/>
      <c r="P98" s="270"/>
      <c r="Q98" s="270"/>
      <c r="R98" s="270"/>
    </row>
    <row r="99" spans="1:18" s="225" customFormat="1" ht="12.75" customHeight="1" x14ac:dyDescent="0.2">
      <c r="A99" s="270"/>
      <c r="B99" s="231" t="s">
        <v>111</v>
      </c>
      <c r="C99" s="357">
        <f>SUM(C100:C102)</f>
        <v>39309000</v>
      </c>
      <c r="D99" s="357">
        <f>SUM(D100:D102)</f>
        <v>38951000</v>
      </c>
      <c r="E99" s="357">
        <f>SUM(E100:E102)</f>
        <v>37596000</v>
      </c>
      <c r="F99" s="357">
        <f>SUM(F100:F102)</f>
        <v>37625000</v>
      </c>
      <c r="G99" s="368">
        <f>SUM(G100:G102)</f>
        <v>37585000</v>
      </c>
      <c r="H99" s="373">
        <f t="shared" ref="H99:M99" si="25">SUM(H100:H102)</f>
        <v>0</v>
      </c>
      <c r="I99" s="357">
        <f t="shared" si="25"/>
        <v>0</v>
      </c>
      <c r="J99" s="357">
        <f t="shared" si="25"/>
        <v>0</v>
      </c>
      <c r="K99" s="357">
        <f t="shared" si="25"/>
        <v>0</v>
      </c>
      <c r="L99" s="357">
        <f t="shared" si="25"/>
        <v>0</v>
      </c>
      <c r="M99" s="368">
        <f t="shared" si="25"/>
        <v>0</v>
      </c>
      <c r="N99" s="270"/>
      <c r="O99" s="270"/>
      <c r="P99" s="270"/>
      <c r="Q99" s="270"/>
      <c r="R99" s="270"/>
    </row>
    <row r="100" spans="1:18" s="225" customFormat="1" ht="12.75" customHeight="1" x14ac:dyDescent="0.2">
      <c r="A100" s="270"/>
      <c r="B100" s="231" t="s">
        <v>315</v>
      </c>
      <c r="C100" s="356">
        <f>MROUND(('[6]Equity Stat'!$E$16*1000),1000)</f>
        <v>36996000</v>
      </c>
      <c r="D100" s="356">
        <f>C100</f>
        <v>36996000</v>
      </c>
      <c r="E100" s="356">
        <f t="shared" ref="E100:G100" si="26">D100</f>
        <v>36996000</v>
      </c>
      <c r="F100" s="356">
        <f t="shared" si="26"/>
        <v>36996000</v>
      </c>
      <c r="G100" s="356">
        <f t="shared" si="26"/>
        <v>36996000</v>
      </c>
      <c r="H100" s="372"/>
      <c r="I100" s="356"/>
      <c r="J100" s="356"/>
      <c r="K100" s="356"/>
      <c r="L100" s="356"/>
      <c r="M100" s="354"/>
      <c r="N100" s="270"/>
      <c r="O100" s="270"/>
      <c r="P100" s="270"/>
      <c r="Q100" s="270"/>
      <c r="R100" s="270"/>
    </row>
    <row r="101" spans="1:18" s="225" customFormat="1" ht="12.75" customHeight="1" x14ac:dyDescent="0.2">
      <c r="A101" s="270"/>
      <c r="B101" s="231" t="s">
        <v>311</v>
      </c>
      <c r="C101" s="356">
        <v>0</v>
      </c>
      <c r="D101" s="356">
        <v>0</v>
      </c>
      <c r="E101" s="356">
        <v>0</v>
      </c>
      <c r="F101" s="356">
        <v>0</v>
      </c>
      <c r="G101" s="354">
        <v>0</v>
      </c>
      <c r="H101" s="372"/>
      <c r="I101" s="356"/>
      <c r="J101" s="356"/>
      <c r="K101" s="356"/>
      <c r="L101" s="356"/>
      <c r="M101" s="354"/>
      <c r="N101" s="270"/>
      <c r="O101" s="270"/>
      <c r="P101" s="270"/>
      <c r="Q101" s="270"/>
      <c r="R101" s="270"/>
    </row>
    <row r="102" spans="1:18" s="225" customFormat="1" ht="12.75" customHeight="1" x14ac:dyDescent="0.2">
      <c r="A102" s="270"/>
      <c r="B102" s="231" t="s">
        <v>316</v>
      </c>
      <c r="C102" s="356">
        <f>MROUND(([13]Reserves!D$41*1000),1000)</f>
        <v>2313000</v>
      </c>
      <c r="D102" s="356">
        <f>MROUND(([13]Reserves!E$41*1000),1000)</f>
        <v>1955000</v>
      </c>
      <c r="E102" s="356">
        <f>MROUND(([13]Reserves!F$41*1000),1000)</f>
        <v>600000</v>
      </c>
      <c r="F102" s="356">
        <f>MROUND(([13]Reserves!G$41*1000),1000)+1000</f>
        <v>629000</v>
      </c>
      <c r="G102" s="356">
        <f>MROUND(([13]Reserves!H$41*1000),1000)+1000</f>
        <v>589000</v>
      </c>
      <c r="H102" s="372"/>
      <c r="I102" s="356"/>
      <c r="J102" s="356"/>
      <c r="K102" s="356"/>
      <c r="L102" s="356"/>
      <c r="M102" s="354"/>
      <c r="N102" s="270"/>
      <c r="O102" s="270"/>
      <c r="P102" s="270"/>
      <c r="Q102" s="270"/>
      <c r="R102" s="270"/>
    </row>
    <row r="103" spans="1:18" s="225" customFormat="1" ht="12.75" customHeight="1" x14ac:dyDescent="0.2">
      <c r="A103" s="270"/>
      <c r="B103" s="383" t="s">
        <v>300</v>
      </c>
      <c r="C103" s="370">
        <f t="shared" ref="C103:M103" si="27">SUM(C98:C99)</f>
        <v>129016000</v>
      </c>
      <c r="D103" s="370">
        <f t="shared" si="27"/>
        <v>131142000</v>
      </c>
      <c r="E103" s="370">
        <f t="shared" si="27"/>
        <v>137580000</v>
      </c>
      <c r="F103" s="370">
        <f t="shared" si="27"/>
        <v>137978000</v>
      </c>
      <c r="G103" s="371">
        <f t="shared" si="27"/>
        <v>138499000</v>
      </c>
      <c r="H103" s="374">
        <f t="shared" si="27"/>
        <v>0</v>
      </c>
      <c r="I103" s="370">
        <f t="shared" si="27"/>
        <v>0</v>
      </c>
      <c r="J103" s="370">
        <f t="shared" si="27"/>
        <v>0</v>
      </c>
      <c r="K103" s="370">
        <f t="shared" si="27"/>
        <v>0</v>
      </c>
      <c r="L103" s="370">
        <f t="shared" si="27"/>
        <v>0</v>
      </c>
      <c r="M103" s="371">
        <f t="shared" si="27"/>
        <v>0</v>
      </c>
      <c r="N103" s="270"/>
      <c r="O103" s="270"/>
      <c r="P103" s="270"/>
      <c r="Q103" s="270"/>
      <c r="R103" s="270"/>
    </row>
    <row r="104" spans="1:18" s="225" customFormat="1" ht="12.75" customHeight="1" x14ac:dyDescent="0.2">
      <c r="A104" s="270"/>
      <c r="B104" s="272"/>
      <c r="C104" s="358"/>
      <c r="D104" s="358"/>
      <c r="E104" s="358"/>
      <c r="F104" s="358"/>
      <c r="G104" s="358"/>
      <c r="H104" s="358"/>
      <c r="I104" s="358"/>
      <c r="J104" s="358"/>
      <c r="K104" s="358"/>
      <c r="L104" s="358"/>
      <c r="M104" s="358"/>
      <c r="N104" s="270"/>
      <c r="O104" s="270"/>
      <c r="P104" s="270"/>
      <c r="Q104" s="270"/>
      <c r="R104" s="270"/>
    </row>
    <row r="105" spans="1:18" s="225" customFormat="1" ht="12.75" customHeight="1" x14ac:dyDescent="0.2">
      <c r="A105" s="270"/>
      <c r="B105" s="382" t="s">
        <v>269</v>
      </c>
      <c r="C105" s="433"/>
      <c r="D105" s="433"/>
      <c r="E105" s="433"/>
      <c r="F105" s="433"/>
      <c r="G105" s="434"/>
      <c r="H105" s="435"/>
      <c r="I105" s="433"/>
      <c r="J105" s="433"/>
      <c r="K105" s="433"/>
      <c r="L105" s="433"/>
      <c r="M105" s="434"/>
      <c r="N105" s="270"/>
      <c r="O105" s="270"/>
      <c r="P105" s="270"/>
      <c r="Q105" s="270"/>
      <c r="R105" s="270"/>
    </row>
    <row r="106" spans="1:18" s="225" customFormat="1" ht="12.75" customHeight="1" x14ac:dyDescent="0.2">
      <c r="A106" s="270"/>
      <c r="B106" s="231" t="s">
        <v>270</v>
      </c>
      <c r="C106" s="357">
        <f>'Assets - Base year'!O193</f>
        <v>851434.89200000011</v>
      </c>
      <c r="D106" s="357">
        <f>'Assets - WHC'!O203</f>
        <v>1541684.7345</v>
      </c>
      <c r="E106" s="356">
        <f>MROUND(('[14]Stat of Capital Works'!E$40*1000),1000)</f>
        <v>4669000</v>
      </c>
      <c r="F106" s="356">
        <f>MROUND(('[14]Stat of Capital Works'!F$40*1000),1000)</f>
        <v>750000</v>
      </c>
      <c r="G106" s="356">
        <f>MROUND(('[14]Stat of Capital Works'!G$40*1000),1000)</f>
        <v>1182000</v>
      </c>
      <c r="H106" s="372"/>
      <c r="I106" s="356"/>
      <c r="J106" s="356"/>
      <c r="K106" s="356"/>
      <c r="L106" s="356"/>
      <c r="M106" s="354"/>
      <c r="N106" s="270"/>
      <c r="O106" s="270"/>
      <c r="P106" s="270"/>
      <c r="Q106" s="270"/>
      <c r="R106" s="270"/>
    </row>
    <row r="107" spans="1:18" s="225" customFormat="1" ht="12.75" customHeight="1" x14ac:dyDescent="0.2">
      <c r="A107" s="270"/>
      <c r="B107" s="231" t="s">
        <v>271</v>
      </c>
      <c r="C107" s="357">
        <f>'Assets - Base year'!N193</f>
        <v>612163.82999999996</v>
      </c>
      <c r="D107" s="357">
        <f>'Assets - WHC'!N203</f>
        <v>1583098.4105</v>
      </c>
      <c r="E107" s="356">
        <f>MROUND(('[14]Stat of Capital Works'!E$39*1000),1000)</f>
        <v>3134000</v>
      </c>
      <c r="F107" s="356">
        <f>MROUND(('[14]Stat of Capital Works'!F$39*1000),1000)</f>
        <v>554000</v>
      </c>
      <c r="G107" s="356">
        <f>MROUND(('[14]Stat of Capital Works'!G$39*1000),1000)</f>
        <v>676000</v>
      </c>
      <c r="H107" s="372"/>
      <c r="I107" s="356"/>
      <c r="J107" s="356"/>
      <c r="K107" s="356"/>
      <c r="L107" s="356"/>
      <c r="M107" s="354"/>
      <c r="N107" s="270"/>
      <c r="O107" s="270"/>
      <c r="P107" s="270"/>
      <c r="Q107" s="270"/>
      <c r="R107" s="270"/>
    </row>
    <row r="108" spans="1:18" s="225" customFormat="1" ht="12.75" customHeight="1" x14ac:dyDescent="0.2">
      <c r="A108" s="270"/>
      <c r="B108" s="231" t="s">
        <v>272</v>
      </c>
      <c r="C108" s="357">
        <f>'Assets - Base year'!Q193</f>
        <v>392877.45800000004</v>
      </c>
      <c r="D108" s="357">
        <f>'Assets - WHC'!Q203</f>
        <v>1106108.7150000001</v>
      </c>
      <c r="E108" s="356">
        <f>MROUND(('[14]Stat of Capital Works'!E$41*1000),1000)</f>
        <v>1657000</v>
      </c>
      <c r="F108" s="356">
        <f>MROUND(('[14]Stat of Capital Works'!F$41*1000),1000)+1000</f>
        <v>733000</v>
      </c>
      <c r="G108" s="356">
        <f>MROUND(('[14]Stat of Capital Works'!G$41*1000),1000)</f>
        <v>74000</v>
      </c>
      <c r="H108" s="372"/>
      <c r="I108" s="356"/>
      <c r="J108" s="356"/>
      <c r="K108" s="356"/>
      <c r="L108" s="356"/>
      <c r="M108" s="354"/>
      <c r="N108" s="270"/>
      <c r="O108" s="270"/>
      <c r="P108" s="270"/>
      <c r="Q108" s="270"/>
      <c r="R108" s="270"/>
    </row>
    <row r="109" spans="1:18" s="225" customFormat="1" ht="12.75" customHeight="1" x14ac:dyDescent="0.2">
      <c r="A109" s="270"/>
      <c r="B109" s="231" t="s">
        <v>273</v>
      </c>
      <c r="C109" s="357">
        <f>'Assets - Base year'!P193</f>
        <v>0</v>
      </c>
      <c r="D109" s="357">
        <f>'Assets - WHC'!P203</f>
        <v>0</v>
      </c>
      <c r="E109" s="356">
        <v>0</v>
      </c>
      <c r="F109" s="356">
        <v>0</v>
      </c>
      <c r="G109" s="354">
        <v>0</v>
      </c>
      <c r="H109" s="372"/>
      <c r="I109" s="356"/>
      <c r="J109" s="356"/>
      <c r="K109" s="356"/>
      <c r="L109" s="356"/>
      <c r="M109" s="354"/>
      <c r="N109" s="270"/>
      <c r="O109" s="270"/>
      <c r="P109" s="270"/>
      <c r="Q109" s="270"/>
      <c r="R109" s="270"/>
    </row>
    <row r="110" spans="1:18" s="225" customFormat="1" ht="12.75" customHeight="1" x14ac:dyDescent="0.2">
      <c r="A110" s="270"/>
      <c r="B110" s="379" t="s">
        <v>274</v>
      </c>
      <c r="C110" s="370">
        <f t="shared" ref="C110:M110" si="28">SUM(C106:C109)</f>
        <v>1856476.1800000002</v>
      </c>
      <c r="D110" s="370">
        <f t="shared" si="28"/>
        <v>4230891.8600000003</v>
      </c>
      <c r="E110" s="370">
        <f t="shared" si="28"/>
        <v>9460000</v>
      </c>
      <c r="F110" s="370">
        <f t="shared" si="28"/>
        <v>2037000</v>
      </c>
      <c r="G110" s="371">
        <f t="shared" si="28"/>
        <v>1932000</v>
      </c>
      <c r="H110" s="374">
        <f t="shared" si="28"/>
        <v>0</v>
      </c>
      <c r="I110" s="370">
        <f t="shared" si="28"/>
        <v>0</v>
      </c>
      <c r="J110" s="370">
        <f t="shared" si="28"/>
        <v>0</v>
      </c>
      <c r="K110" s="370">
        <f t="shared" si="28"/>
        <v>0</v>
      </c>
      <c r="L110" s="370">
        <f t="shared" si="28"/>
        <v>0</v>
      </c>
      <c r="M110" s="371">
        <f t="shared" si="28"/>
        <v>0</v>
      </c>
      <c r="N110" s="270"/>
      <c r="O110" s="270"/>
      <c r="P110" s="270"/>
      <c r="Q110" s="270"/>
      <c r="R110" s="270"/>
    </row>
    <row r="111" spans="1:18" s="225" customFormat="1" ht="12.75" customHeight="1" x14ac:dyDescent="0.2">
      <c r="A111" s="270"/>
      <c r="B111" s="270"/>
      <c r="C111" s="353"/>
      <c r="D111" s="353"/>
      <c r="E111" s="353"/>
      <c r="F111" s="353"/>
      <c r="G111" s="353"/>
      <c r="H111" s="353"/>
      <c r="I111" s="353"/>
      <c r="J111" s="353"/>
      <c r="K111" s="353"/>
      <c r="L111" s="353"/>
      <c r="M111" s="353"/>
      <c r="N111" s="270"/>
      <c r="O111" s="270"/>
      <c r="P111" s="270"/>
      <c r="Q111" s="270"/>
      <c r="R111" s="270"/>
    </row>
    <row r="112" spans="1:18" s="225" customFormat="1" ht="12.75" customHeight="1" x14ac:dyDescent="0.2">
      <c r="A112" s="270"/>
      <c r="B112" s="270"/>
      <c r="C112" s="353"/>
      <c r="D112" s="353"/>
      <c r="E112" s="353"/>
      <c r="F112" s="353"/>
      <c r="G112" s="353"/>
      <c r="H112" s="353"/>
      <c r="I112" s="353"/>
      <c r="J112" s="353"/>
      <c r="K112" s="353"/>
      <c r="L112" s="353"/>
      <c r="M112" s="353"/>
      <c r="N112" s="270"/>
      <c r="O112" s="270"/>
      <c r="P112" s="270"/>
      <c r="Q112" s="270"/>
      <c r="R112" s="270"/>
    </row>
    <row r="113" spans="1:18" s="225" customFormat="1" ht="18" customHeight="1" x14ac:dyDescent="0.25">
      <c r="A113" s="270"/>
      <c r="B113" s="338" t="s">
        <v>263</v>
      </c>
      <c r="C113" s="353"/>
      <c r="D113" s="353"/>
      <c r="E113" s="353"/>
      <c r="F113" s="353"/>
      <c r="G113" s="353"/>
      <c r="H113" s="353"/>
      <c r="I113" s="353"/>
      <c r="J113" s="353"/>
      <c r="K113" s="353"/>
      <c r="L113" s="353"/>
      <c r="M113" s="353"/>
      <c r="N113" s="270"/>
      <c r="O113" s="270"/>
      <c r="P113" s="270"/>
      <c r="Q113" s="270"/>
      <c r="R113" s="270"/>
    </row>
    <row r="114" spans="1:18" s="225" customFormat="1" ht="12.75" customHeight="1" x14ac:dyDescent="0.2">
      <c r="A114" s="270"/>
      <c r="B114" s="270"/>
      <c r="C114" s="270"/>
      <c r="D114" s="270"/>
      <c r="E114" s="270"/>
      <c r="F114" s="270"/>
      <c r="G114" s="270"/>
      <c r="H114" s="270"/>
      <c r="I114" s="270"/>
      <c r="J114" s="270"/>
      <c r="K114" s="270"/>
      <c r="L114" s="270"/>
      <c r="M114" s="270"/>
      <c r="N114" s="270"/>
      <c r="O114" s="270"/>
      <c r="P114" s="270"/>
      <c r="Q114" s="270"/>
      <c r="R114" s="270"/>
    </row>
    <row r="115" spans="1:18" s="225" customFormat="1" ht="12.75" customHeight="1" x14ac:dyDescent="0.2">
      <c r="A115" s="270"/>
      <c r="B115" s="447" t="s">
        <v>159</v>
      </c>
      <c r="C115" s="448"/>
      <c r="D115" s="449"/>
      <c r="E115" s="270"/>
      <c r="F115" s="270"/>
      <c r="G115" s="270"/>
      <c r="H115" s="270"/>
      <c r="I115" s="270"/>
      <c r="J115" s="270"/>
      <c r="K115" s="270"/>
      <c r="L115" s="270"/>
      <c r="M115" s="270"/>
      <c r="N115" s="270"/>
      <c r="O115" s="270"/>
      <c r="P115" s="270"/>
      <c r="Q115" s="270"/>
      <c r="R115" s="270"/>
    </row>
    <row r="116" spans="1:18" s="225" customFormat="1" ht="12.75" customHeight="1" x14ac:dyDescent="0.2">
      <c r="A116" s="270"/>
      <c r="B116" s="366" t="s">
        <v>146</v>
      </c>
      <c r="C116" s="357">
        <f t="shared" ref="C116:C125" si="29">C11</f>
        <v>5965599.9000000004</v>
      </c>
      <c r="D116" s="354">
        <f>-SUM('[4]ESC Rates &amp; Charges'!$C$7:$C$9)</f>
        <v>6104822</v>
      </c>
      <c r="E116" s="270"/>
      <c r="F116" s="270"/>
      <c r="G116" s="270"/>
      <c r="H116" s="270"/>
      <c r="I116" s="270"/>
      <c r="J116" s="270"/>
      <c r="K116" s="270"/>
      <c r="L116" s="270"/>
      <c r="M116" s="270"/>
      <c r="N116" s="270"/>
      <c r="O116" s="270"/>
      <c r="P116" s="270"/>
      <c r="Q116" s="270"/>
      <c r="R116" s="270"/>
    </row>
    <row r="117" spans="1:18" s="225" customFormat="1" ht="12.75" customHeight="1" x14ac:dyDescent="0.2">
      <c r="A117" s="270"/>
      <c r="B117" s="366" t="s">
        <v>147</v>
      </c>
      <c r="C117" s="357">
        <f t="shared" si="29"/>
        <v>0</v>
      </c>
      <c r="D117" s="354">
        <v>0</v>
      </c>
      <c r="E117" s="270"/>
      <c r="F117" s="270"/>
      <c r="G117" s="270"/>
      <c r="H117" s="270"/>
      <c r="I117" s="270"/>
      <c r="J117" s="270"/>
      <c r="K117" s="270"/>
      <c r="L117" s="270"/>
      <c r="M117" s="270"/>
      <c r="N117" s="270"/>
      <c r="O117" s="270"/>
      <c r="P117" s="270"/>
      <c r="Q117" s="270"/>
      <c r="R117" s="270"/>
    </row>
    <row r="118" spans="1:18" s="225" customFormat="1" ht="12.75" customHeight="1" x14ac:dyDescent="0.2">
      <c r="A118" s="270"/>
      <c r="B118" s="367" t="s">
        <v>369</v>
      </c>
      <c r="C118" s="357">
        <f t="shared" si="29"/>
        <v>5965599.9000000004</v>
      </c>
      <c r="D118" s="368">
        <f>D116+D117</f>
        <v>6104822</v>
      </c>
      <c r="E118" s="270"/>
      <c r="F118" s="270"/>
      <c r="G118" s="270"/>
      <c r="H118" s="270"/>
      <c r="I118" s="270"/>
      <c r="J118" s="270"/>
      <c r="K118" s="270"/>
      <c r="L118" s="270"/>
      <c r="M118" s="270"/>
      <c r="N118" s="270"/>
      <c r="O118" s="270"/>
      <c r="P118" s="270"/>
      <c r="Q118" s="270"/>
      <c r="R118" s="270"/>
    </row>
    <row r="119" spans="1:18" s="225" customFormat="1" ht="12.75" customHeight="1" x14ac:dyDescent="0.2">
      <c r="A119" s="270"/>
      <c r="B119" s="366" t="s">
        <v>200</v>
      </c>
      <c r="C119" s="357">
        <f t="shared" si="29"/>
        <v>847878.75</v>
      </c>
      <c r="D119" s="354">
        <f>-SUM(GETPIVOTDATA("Sum of 2017/18",'[4]ESC Rates &amp; Charges'!$A$3,"ACCOUNT NAME","Garbage Charges ""Second Bin""","Stat of Inc &amp; Exp (Available Cash)","Rates and charges"),'[4]ESC Rates &amp; Charges'!$C$10:$C$13)</f>
        <v>868199.91578202404</v>
      </c>
      <c r="E119" s="270"/>
      <c r="F119" s="270"/>
      <c r="G119" s="270"/>
      <c r="H119" s="270"/>
      <c r="I119" s="270"/>
      <c r="J119" s="270"/>
      <c r="K119" s="270"/>
      <c r="L119" s="270"/>
      <c r="M119" s="270"/>
      <c r="N119" s="270"/>
      <c r="O119" s="270"/>
      <c r="P119" s="270"/>
      <c r="Q119" s="270"/>
      <c r="R119" s="270"/>
    </row>
    <row r="120" spans="1:18" s="225" customFormat="1" ht="12.75" customHeight="1" x14ac:dyDescent="0.2">
      <c r="A120" s="270"/>
      <c r="B120" s="366" t="s">
        <v>201</v>
      </c>
      <c r="C120" s="357">
        <f t="shared" si="29"/>
        <v>0</v>
      </c>
      <c r="D120" s="354">
        <v>0</v>
      </c>
      <c r="E120" s="270"/>
      <c r="F120" s="270"/>
      <c r="G120" s="270"/>
      <c r="H120" s="270"/>
      <c r="I120" s="270"/>
      <c r="J120" s="270"/>
      <c r="K120" s="270"/>
      <c r="L120" s="270"/>
      <c r="M120" s="270"/>
      <c r="N120" s="270"/>
      <c r="O120" s="270"/>
      <c r="P120" s="270"/>
      <c r="Q120" s="270"/>
      <c r="R120" s="270"/>
    </row>
    <row r="121" spans="1:18" s="225" customFormat="1" ht="12.75" customHeight="1" x14ac:dyDescent="0.2">
      <c r="A121" s="270"/>
      <c r="B121" s="366" t="s">
        <v>202</v>
      </c>
      <c r="C121" s="357">
        <f t="shared" si="29"/>
        <v>0</v>
      </c>
      <c r="D121" s="354">
        <v>0</v>
      </c>
      <c r="E121" s="270"/>
      <c r="F121" s="270"/>
      <c r="G121" s="270"/>
      <c r="H121" s="270"/>
      <c r="I121" s="270"/>
      <c r="J121" s="270"/>
      <c r="K121" s="270"/>
      <c r="L121" s="270"/>
      <c r="M121" s="270"/>
      <c r="N121" s="270"/>
      <c r="O121" s="270"/>
      <c r="P121" s="270"/>
      <c r="Q121" s="270"/>
      <c r="R121" s="270"/>
    </row>
    <row r="122" spans="1:18" s="225" customFormat="1" ht="12.75" customHeight="1" x14ac:dyDescent="0.2">
      <c r="A122" s="270"/>
      <c r="B122" s="366" t="s">
        <v>203</v>
      </c>
      <c r="C122" s="357">
        <f t="shared" si="29"/>
        <v>-11147.3</v>
      </c>
      <c r="D122" s="354">
        <f>-SUM(GETPIVOTDATA("Sum of 2017/18",'[4]ESC Rates &amp; Charges'!$A$3,"ACCOUNT NAME","Additional $40 pensioner concession offered by BOQ","Stat of Inc &amp; Exp (Available Cash)","Rates and charges"),GETPIVOTDATA("Sum of 2017/18",'[4]ESC Rates &amp; Charges'!$A$3,"ACCOUNT NAME","Rebate for properties of environmental interest meeting criteria in Council policy","Stat of Inc &amp; Exp (Available Cash)","Rates and charges"),'[4]ESC Rates &amp; Charges'!$C$16:$C$18)</f>
        <v>-9362</v>
      </c>
      <c r="E122" s="270"/>
      <c r="F122" s="270"/>
      <c r="G122" s="270"/>
      <c r="H122" s="270"/>
      <c r="I122" s="270"/>
      <c r="J122" s="270"/>
      <c r="K122" s="270"/>
      <c r="L122" s="270"/>
      <c r="M122" s="270"/>
      <c r="N122" s="270"/>
      <c r="O122" s="270"/>
      <c r="P122" s="270"/>
      <c r="Q122" s="270"/>
      <c r="R122" s="270"/>
    </row>
    <row r="123" spans="1:18" s="225" customFormat="1" ht="12.75" customHeight="1" x14ac:dyDescent="0.2">
      <c r="A123" s="270"/>
      <c r="B123" s="366" t="s">
        <v>204</v>
      </c>
      <c r="C123" s="357">
        <f t="shared" si="29"/>
        <v>3659.55</v>
      </c>
      <c r="D123" s="354">
        <f>-GETPIVOTDATA("Sum of 2017/18",'[4]ESC Rates &amp; Charges'!$A$3,"ACCOUNT NAME","Special Rates - Recreational &amp; Cultural","Stat of Inc &amp; Exp (Available Cash)","Rates and charges")</f>
        <v>3733</v>
      </c>
      <c r="E123" s="270"/>
      <c r="F123" s="270"/>
      <c r="G123" s="270"/>
      <c r="H123" s="270"/>
      <c r="I123" s="270"/>
      <c r="J123" s="270"/>
      <c r="K123" s="270"/>
      <c r="L123" s="270"/>
      <c r="M123" s="270"/>
      <c r="N123" s="270"/>
      <c r="O123" s="270"/>
      <c r="P123" s="270"/>
      <c r="Q123" s="270"/>
      <c r="R123" s="270"/>
    </row>
    <row r="124" spans="1:18" s="225" customFormat="1" ht="12.75" customHeight="1" x14ac:dyDescent="0.2">
      <c r="A124" s="270"/>
      <c r="B124" s="366" t="s">
        <v>205</v>
      </c>
      <c r="C124" s="357">
        <f t="shared" si="29"/>
        <v>0</v>
      </c>
      <c r="D124" s="354"/>
      <c r="E124" s="270"/>
      <c r="F124" s="270"/>
      <c r="G124" s="270"/>
      <c r="H124" s="270"/>
      <c r="I124" s="270"/>
      <c r="J124" s="270"/>
      <c r="K124" s="270"/>
      <c r="L124" s="270"/>
      <c r="M124" s="270"/>
      <c r="N124" s="270"/>
      <c r="O124" s="270"/>
      <c r="P124" s="270"/>
      <c r="Q124" s="270"/>
      <c r="R124" s="270"/>
    </row>
    <row r="125" spans="1:18" s="362" customFormat="1" ht="12.75" customHeight="1" x14ac:dyDescent="0.2">
      <c r="A125" s="337"/>
      <c r="B125" s="369" t="s">
        <v>206</v>
      </c>
      <c r="C125" s="370">
        <f t="shared" si="29"/>
        <v>6805990.9000000004</v>
      </c>
      <c r="D125" s="371">
        <f>SUM(D118:D124)</f>
        <v>6967392.9157820242</v>
      </c>
      <c r="E125" s="706"/>
      <c r="F125" s="337"/>
      <c r="G125" s="337"/>
      <c r="H125" s="337"/>
      <c r="I125" s="337"/>
      <c r="J125" s="337"/>
      <c r="K125" s="337"/>
      <c r="L125" s="337"/>
      <c r="M125" s="337"/>
      <c r="N125" s="337"/>
      <c r="O125" s="337"/>
      <c r="P125" s="337"/>
      <c r="Q125" s="337"/>
      <c r="R125" s="337"/>
    </row>
    <row r="126" spans="1:18" s="225" customFormat="1" ht="12.75" customHeight="1" x14ac:dyDescent="0.2">
      <c r="A126" s="270"/>
      <c r="B126" s="272"/>
      <c r="C126" s="358"/>
      <c r="D126" s="358"/>
      <c r="E126" s="270"/>
      <c r="F126" s="270"/>
      <c r="G126" s="270"/>
      <c r="H126" s="270"/>
      <c r="I126" s="270"/>
      <c r="J126" s="270"/>
      <c r="K126" s="270"/>
      <c r="L126" s="270"/>
      <c r="M126" s="270"/>
      <c r="N126" s="270"/>
      <c r="O126" s="270"/>
      <c r="P126" s="270"/>
      <c r="Q126" s="270"/>
      <c r="R126" s="270"/>
    </row>
    <row r="127" spans="1:18" s="225" customFormat="1" ht="12.75" customHeight="1" x14ac:dyDescent="0.2">
      <c r="A127" s="270"/>
      <c r="B127" s="447" t="s">
        <v>248</v>
      </c>
      <c r="C127" s="450"/>
      <c r="D127" s="451"/>
      <c r="E127" s="270"/>
      <c r="F127" s="270"/>
      <c r="G127" s="270"/>
      <c r="H127" s="270"/>
      <c r="I127" s="270"/>
      <c r="J127" s="270"/>
      <c r="K127" s="270"/>
      <c r="L127" s="270"/>
      <c r="M127" s="270"/>
      <c r="N127" s="270"/>
      <c r="O127" s="270"/>
      <c r="P127" s="270"/>
      <c r="Q127" s="270"/>
      <c r="R127" s="270"/>
    </row>
    <row r="128" spans="1:18" s="225" customFormat="1" ht="12.75" customHeight="1" x14ac:dyDescent="0.2">
      <c r="A128" s="270"/>
      <c r="B128" s="366" t="s">
        <v>159</v>
      </c>
      <c r="C128" s="357">
        <f t="shared" ref="C128:C145" si="30">C23</f>
        <v>6805990.9000000004</v>
      </c>
      <c r="D128" s="368">
        <f>D125</f>
        <v>6967392.9157820242</v>
      </c>
      <c r="E128" s="270"/>
      <c r="F128" s="270"/>
      <c r="G128" s="270"/>
      <c r="H128" s="270"/>
      <c r="I128" s="270"/>
      <c r="J128" s="270"/>
      <c r="K128" s="270"/>
      <c r="L128" s="270"/>
      <c r="M128" s="270"/>
      <c r="N128" s="270"/>
      <c r="O128" s="270"/>
      <c r="P128" s="270"/>
      <c r="Q128" s="270"/>
      <c r="R128" s="270"/>
    </row>
    <row r="129" spans="1:18" s="225" customFormat="1" ht="12.75" customHeight="1" x14ac:dyDescent="0.2">
      <c r="A129" s="270"/>
      <c r="B129" s="366" t="s">
        <v>249</v>
      </c>
      <c r="C129" s="357">
        <f t="shared" si="30"/>
        <v>109023.45</v>
      </c>
      <c r="D129" s="368">
        <f>'Revenue - NHC'!H153</f>
        <v>108000</v>
      </c>
      <c r="E129" s="270"/>
      <c r="F129" s="270"/>
      <c r="G129" s="270"/>
      <c r="H129" s="270"/>
      <c r="I129" s="270"/>
      <c r="J129" s="270"/>
      <c r="K129" s="270"/>
      <c r="L129" s="270"/>
      <c r="M129" s="270"/>
      <c r="N129" s="270"/>
      <c r="O129" s="270"/>
      <c r="P129" s="270"/>
      <c r="Q129" s="270"/>
      <c r="R129" s="270"/>
    </row>
    <row r="130" spans="1:18" s="225" customFormat="1" ht="12.75" customHeight="1" x14ac:dyDescent="0.2">
      <c r="A130" s="270"/>
      <c r="B130" s="366" t="s">
        <v>74</v>
      </c>
      <c r="C130" s="357">
        <f t="shared" si="30"/>
        <v>2012779.17</v>
      </c>
      <c r="D130" s="368">
        <f>'Revenue - NHC'!I153</f>
        <v>1971730.0621519531</v>
      </c>
      <c r="E130" s="270"/>
      <c r="F130" s="270"/>
      <c r="G130" s="270"/>
      <c r="H130" s="270"/>
      <c r="I130" s="270"/>
      <c r="J130" s="270"/>
      <c r="K130" s="270"/>
      <c r="L130" s="270"/>
      <c r="M130" s="270"/>
      <c r="N130" s="270"/>
      <c r="O130" s="270"/>
      <c r="P130" s="270"/>
      <c r="Q130" s="270"/>
      <c r="R130" s="270"/>
    </row>
    <row r="131" spans="1:18" s="225" customFormat="1" ht="12.75" customHeight="1" x14ac:dyDescent="0.2">
      <c r="A131" s="270"/>
      <c r="B131" s="366" t="s">
        <v>250</v>
      </c>
      <c r="C131" s="357">
        <f t="shared" si="30"/>
        <v>869613.35</v>
      </c>
      <c r="D131" s="368">
        <f>SUM(D132:D133)</f>
        <v>778900</v>
      </c>
      <c r="E131" s="270"/>
      <c r="F131" s="270"/>
      <c r="G131" s="270"/>
      <c r="H131" s="270"/>
      <c r="I131" s="270"/>
      <c r="J131" s="270"/>
      <c r="K131" s="270"/>
      <c r="L131" s="270"/>
      <c r="M131" s="270"/>
      <c r="N131" s="270"/>
      <c r="O131" s="270"/>
      <c r="P131" s="270"/>
      <c r="Q131" s="270"/>
      <c r="R131" s="270"/>
    </row>
    <row r="132" spans="1:18" s="225" customFormat="1" ht="12.75" customHeight="1" x14ac:dyDescent="0.2">
      <c r="A132" s="270"/>
      <c r="B132" s="366" t="s">
        <v>303</v>
      </c>
      <c r="C132" s="357">
        <f t="shared" si="30"/>
        <v>774113.35</v>
      </c>
      <c r="D132" s="368">
        <f>'Revenue - NHC'!J153</f>
        <v>775900</v>
      </c>
      <c r="E132" s="270"/>
      <c r="F132" s="270"/>
      <c r="G132" s="270"/>
      <c r="H132" s="270"/>
      <c r="I132" s="270"/>
      <c r="J132" s="270"/>
      <c r="K132" s="270"/>
      <c r="L132" s="270"/>
      <c r="M132" s="270"/>
      <c r="N132" s="270"/>
      <c r="O132" s="270"/>
      <c r="P132" s="270"/>
      <c r="Q132" s="270"/>
      <c r="R132" s="270"/>
    </row>
    <row r="133" spans="1:18" s="225" customFormat="1" ht="12.75" customHeight="1" x14ac:dyDescent="0.2">
      <c r="A133" s="270"/>
      <c r="B133" s="366" t="s">
        <v>304</v>
      </c>
      <c r="C133" s="357">
        <f t="shared" si="30"/>
        <v>95500</v>
      </c>
      <c r="D133" s="368">
        <f>'Revenue - NHC'!K153</f>
        <v>3000</v>
      </c>
      <c r="E133" s="270"/>
      <c r="F133" s="270"/>
      <c r="G133" s="270"/>
      <c r="H133" s="270"/>
      <c r="I133" s="270"/>
      <c r="J133" s="270"/>
      <c r="K133" s="270"/>
      <c r="L133" s="270"/>
      <c r="M133" s="270"/>
      <c r="N133" s="270"/>
      <c r="O133" s="270"/>
      <c r="P133" s="270"/>
      <c r="Q133" s="270"/>
      <c r="R133" s="270"/>
    </row>
    <row r="134" spans="1:18" s="225" customFormat="1" ht="12.75" customHeight="1" x14ac:dyDescent="0.2">
      <c r="A134" s="270"/>
      <c r="B134" s="366" t="s">
        <v>251</v>
      </c>
      <c r="C134" s="357">
        <f t="shared" si="30"/>
        <v>18000</v>
      </c>
      <c r="D134" s="368">
        <f>SUM(D135:D136)</f>
        <v>2847751</v>
      </c>
      <c r="E134" s="270"/>
      <c r="F134" s="270"/>
      <c r="G134" s="270"/>
      <c r="H134" s="270"/>
      <c r="I134" s="270"/>
      <c r="J134" s="270"/>
      <c r="K134" s="270"/>
      <c r="L134" s="270"/>
      <c r="M134" s="270"/>
      <c r="N134" s="270"/>
      <c r="O134" s="270"/>
      <c r="P134" s="270"/>
      <c r="Q134" s="270"/>
      <c r="R134" s="270"/>
    </row>
    <row r="135" spans="1:18" s="225" customFormat="1" ht="12.75" customHeight="1" x14ac:dyDescent="0.2">
      <c r="A135" s="270"/>
      <c r="B135" s="366" t="s">
        <v>303</v>
      </c>
      <c r="C135" s="357">
        <f t="shared" si="30"/>
        <v>0</v>
      </c>
      <c r="D135" s="368">
        <f>'Revenue - NHC'!L153</f>
        <v>231300</v>
      </c>
      <c r="E135" s="270"/>
      <c r="F135" s="270"/>
      <c r="G135" s="270"/>
      <c r="H135" s="270"/>
      <c r="I135" s="270"/>
      <c r="J135" s="270"/>
      <c r="K135" s="270"/>
      <c r="L135" s="270"/>
      <c r="M135" s="270"/>
      <c r="N135" s="270"/>
      <c r="O135" s="270"/>
      <c r="P135" s="270"/>
      <c r="Q135" s="270"/>
      <c r="R135" s="270"/>
    </row>
    <row r="136" spans="1:18" s="225" customFormat="1" ht="12.75" customHeight="1" x14ac:dyDescent="0.2">
      <c r="A136" s="270"/>
      <c r="B136" s="366" t="s">
        <v>304</v>
      </c>
      <c r="C136" s="357">
        <f t="shared" si="30"/>
        <v>18000</v>
      </c>
      <c r="D136" s="368">
        <f>'Revenue - NHC'!M153</f>
        <v>2616451</v>
      </c>
      <c r="E136" s="270"/>
      <c r="F136" s="270"/>
      <c r="G136" s="270"/>
      <c r="H136" s="270"/>
      <c r="I136" s="270"/>
      <c r="J136" s="270"/>
      <c r="K136" s="270"/>
      <c r="L136" s="270"/>
      <c r="M136" s="270"/>
      <c r="N136" s="270"/>
      <c r="O136" s="270"/>
      <c r="P136" s="270"/>
      <c r="Q136" s="270"/>
      <c r="R136" s="270"/>
    </row>
    <row r="137" spans="1:18" s="225" customFormat="1" ht="12.75" customHeight="1" x14ac:dyDescent="0.2">
      <c r="A137" s="270"/>
      <c r="B137" s="366" t="s">
        <v>305</v>
      </c>
      <c r="C137" s="357">
        <f t="shared" si="30"/>
        <v>0</v>
      </c>
      <c r="D137" s="368">
        <f>SUM(D138:D139)</f>
        <v>12500</v>
      </c>
      <c r="E137" s="270"/>
      <c r="F137" s="270"/>
      <c r="G137" s="270"/>
      <c r="H137" s="270"/>
      <c r="I137" s="270"/>
      <c r="J137" s="270"/>
      <c r="K137" s="270"/>
      <c r="L137" s="270"/>
      <c r="M137" s="270"/>
      <c r="N137" s="270"/>
      <c r="O137" s="270"/>
      <c r="P137" s="270"/>
      <c r="Q137" s="270"/>
      <c r="R137" s="270"/>
    </row>
    <row r="138" spans="1:18" s="225" customFormat="1" ht="12.75" customHeight="1" x14ac:dyDescent="0.2">
      <c r="A138" s="270"/>
      <c r="B138" s="366" t="s">
        <v>306</v>
      </c>
      <c r="C138" s="357">
        <f t="shared" si="30"/>
        <v>0</v>
      </c>
      <c r="D138" s="368">
        <f>'Revenue - NHC'!N153</f>
        <v>12500</v>
      </c>
      <c r="E138" s="270"/>
      <c r="F138" s="270"/>
      <c r="G138" s="270"/>
      <c r="H138" s="270"/>
      <c r="I138" s="270"/>
      <c r="J138" s="270"/>
      <c r="K138" s="270"/>
      <c r="L138" s="270"/>
      <c r="M138" s="270"/>
      <c r="N138" s="270"/>
      <c r="O138" s="270"/>
      <c r="P138" s="270"/>
      <c r="Q138" s="270"/>
      <c r="R138" s="270"/>
    </row>
    <row r="139" spans="1:18" s="225" customFormat="1" ht="12.75" customHeight="1" x14ac:dyDescent="0.2">
      <c r="A139" s="270"/>
      <c r="B139" s="366" t="s">
        <v>307</v>
      </c>
      <c r="C139" s="357">
        <f t="shared" si="30"/>
        <v>0</v>
      </c>
      <c r="D139" s="368">
        <f>'Revenue - NHC'!O153</f>
        <v>0</v>
      </c>
      <c r="E139" s="270"/>
      <c r="F139" s="270"/>
      <c r="G139" s="270"/>
      <c r="H139" s="270"/>
      <c r="I139" s="270"/>
      <c r="J139" s="270"/>
      <c r="K139" s="270"/>
      <c r="L139" s="270"/>
      <c r="M139" s="270"/>
      <c r="N139" s="270"/>
      <c r="O139" s="270"/>
      <c r="P139" s="270"/>
      <c r="Q139" s="270"/>
      <c r="R139" s="270"/>
    </row>
    <row r="140" spans="1:18" s="225" customFormat="1" ht="12.75" customHeight="1" x14ac:dyDescent="0.2">
      <c r="A140" s="270"/>
      <c r="B140" s="366" t="s">
        <v>252</v>
      </c>
      <c r="C140" s="357">
        <f t="shared" si="30"/>
        <v>0</v>
      </c>
      <c r="D140" s="368">
        <f>'Revenue - NHC'!P153</f>
        <v>0</v>
      </c>
      <c r="E140" s="270"/>
      <c r="F140" s="270"/>
      <c r="G140" s="270"/>
      <c r="H140" s="270"/>
      <c r="I140" s="270"/>
      <c r="J140" s="270"/>
      <c r="K140" s="270"/>
      <c r="L140" s="270"/>
      <c r="M140" s="270"/>
      <c r="N140" s="270"/>
      <c r="O140" s="270"/>
      <c r="P140" s="270"/>
      <c r="Q140" s="270"/>
      <c r="R140" s="270"/>
    </row>
    <row r="141" spans="1:18" s="225" customFormat="1" ht="12.75" customHeight="1" x14ac:dyDescent="0.2">
      <c r="A141" s="270"/>
      <c r="B141" s="366" t="s">
        <v>253</v>
      </c>
      <c r="C141" s="357">
        <f t="shared" si="30"/>
        <v>0</v>
      </c>
      <c r="D141" s="368">
        <f>'Revenue - NHC'!R153</f>
        <v>0</v>
      </c>
      <c r="E141" s="270"/>
      <c r="F141" s="270"/>
      <c r="G141" s="270"/>
      <c r="H141" s="270"/>
      <c r="I141" s="270"/>
      <c r="J141" s="270"/>
      <c r="K141" s="270"/>
      <c r="L141" s="270"/>
      <c r="M141" s="270"/>
      <c r="N141" s="270"/>
      <c r="O141" s="270"/>
      <c r="P141" s="270"/>
      <c r="Q141" s="270"/>
      <c r="R141" s="270"/>
    </row>
    <row r="142" spans="1:18" s="225" customFormat="1" ht="12.75" customHeight="1" x14ac:dyDescent="0.2">
      <c r="A142" s="270"/>
      <c r="B142" s="366" t="s">
        <v>254</v>
      </c>
      <c r="C142" s="357">
        <f t="shared" si="30"/>
        <v>0</v>
      </c>
      <c r="D142" s="368">
        <f>'Revenue - NHC'!S153</f>
        <v>0</v>
      </c>
      <c r="E142" s="270"/>
      <c r="F142" s="270"/>
      <c r="G142" s="270"/>
      <c r="H142" s="270"/>
      <c r="I142" s="270"/>
      <c r="J142" s="270"/>
      <c r="K142" s="270"/>
      <c r="L142" s="270"/>
      <c r="M142" s="270"/>
      <c r="N142" s="270"/>
      <c r="O142" s="270"/>
      <c r="P142" s="270"/>
      <c r="Q142" s="270"/>
      <c r="R142" s="270"/>
    </row>
    <row r="143" spans="1:18" s="225" customFormat="1" ht="12.75" customHeight="1" x14ac:dyDescent="0.2">
      <c r="A143" s="270"/>
      <c r="B143" s="366" t="s">
        <v>255</v>
      </c>
      <c r="C143" s="357">
        <f t="shared" si="30"/>
        <v>0</v>
      </c>
      <c r="D143" s="368">
        <f>'Revenue - NHC'!T153</f>
        <v>0</v>
      </c>
      <c r="E143" s="270"/>
      <c r="F143" s="270"/>
      <c r="G143" s="270"/>
      <c r="H143" s="270"/>
      <c r="I143" s="270"/>
      <c r="J143" s="270"/>
      <c r="K143" s="270"/>
      <c r="L143" s="270"/>
      <c r="M143" s="270"/>
      <c r="N143" s="270"/>
      <c r="O143" s="270"/>
      <c r="P143" s="270"/>
      <c r="Q143" s="270"/>
      <c r="R143" s="270"/>
    </row>
    <row r="144" spans="1:18" s="225" customFormat="1" ht="12.75" customHeight="1" x14ac:dyDescent="0.2">
      <c r="A144" s="270"/>
      <c r="B144" s="366" t="s">
        <v>256</v>
      </c>
      <c r="C144" s="357">
        <f t="shared" si="30"/>
        <v>246483.10000000003</v>
      </c>
      <c r="D144" s="368">
        <f>'Revenue - NHC'!Q153</f>
        <v>234200</v>
      </c>
      <c r="E144" s="270"/>
      <c r="F144" s="270"/>
      <c r="G144" s="270"/>
      <c r="H144" s="270"/>
      <c r="I144" s="270"/>
      <c r="J144" s="270"/>
      <c r="K144" s="270"/>
      <c r="L144" s="270"/>
      <c r="M144" s="270"/>
      <c r="N144" s="270"/>
      <c r="O144" s="270"/>
      <c r="P144" s="270"/>
      <c r="Q144" s="270"/>
      <c r="R144" s="270"/>
    </row>
    <row r="145" spans="1:18" s="225" customFormat="1" ht="12.75" customHeight="1" x14ac:dyDescent="0.2">
      <c r="A145" s="270"/>
      <c r="B145" s="377" t="s">
        <v>257</v>
      </c>
      <c r="C145" s="355">
        <f t="shared" si="30"/>
        <v>10061889.969999999</v>
      </c>
      <c r="D145" s="378">
        <f>SUM(D128:D130,D131,D134,D137,D140:D144)</f>
        <v>12920473.977933977</v>
      </c>
      <c r="E145" s="270"/>
      <c r="F145" s="270"/>
      <c r="G145" s="270"/>
      <c r="H145" s="270"/>
      <c r="I145" s="270"/>
      <c r="J145" s="270"/>
      <c r="K145" s="270"/>
      <c r="L145" s="270"/>
      <c r="M145" s="270"/>
      <c r="N145" s="270"/>
      <c r="O145" s="270"/>
      <c r="P145" s="270"/>
      <c r="Q145" s="270"/>
      <c r="R145" s="270"/>
    </row>
    <row r="146" spans="1:18" s="225" customFormat="1" ht="12.75" customHeight="1" x14ac:dyDescent="0.2">
      <c r="A146" s="270"/>
      <c r="B146" s="282"/>
      <c r="C146" s="430"/>
      <c r="D146" s="431"/>
      <c r="E146" s="270"/>
      <c r="F146" s="270"/>
      <c r="G146" s="270"/>
      <c r="H146" s="270"/>
      <c r="I146" s="270"/>
      <c r="J146" s="270"/>
      <c r="K146" s="270"/>
      <c r="L146" s="270"/>
      <c r="M146" s="270"/>
      <c r="N146" s="270"/>
      <c r="O146" s="270"/>
      <c r="P146" s="270"/>
      <c r="Q146" s="270"/>
      <c r="R146" s="270"/>
    </row>
    <row r="147" spans="1:18" s="225" customFormat="1" ht="12.75" customHeight="1" x14ac:dyDescent="0.2">
      <c r="A147" s="270"/>
      <c r="B147" s="336" t="s">
        <v>258</v>
      </c>
      <c r="C147" s="359"/>
      <c r="D147" s="360"/>
      <c r="E147" s="270"/>
      <c r="F147" s="270"/>
      <c r="G147" s="270"/>
      <c r="H147" s="270"/>
      <c r="I147" s="270"/>
      <c r="J147" s="270"/>
      <c r="K147" s="270"/>
      <c r="L147" s="270"/>
      <c r="M147" s="270"/>
      <c r="N147" s="270"/>
      <c r="O147" s="270"/>
      <c r="P147" s="270"/>
      <c r="Q147" s="270"/>
      <c r="R147" s="270"/>
    </row>
    <row r="148" spans="1:18" s="225" customFormat="1" ht="12.75" customHeight="1" x14ac:dyDescent="0.2">
      <c r="A148" s="270"/>
      <c r="B148" s="231" t="s">
        <v>79</v>
      </c>
      <c r="C148" s="357">
        <f t="shared" ref="C148:C159" si="31">C43</f>
        <v>3846800</v>
      </c>
      <c r="D148" s="368">
        <f>'Expenditure- NHC'!H152</f>
        <v>4053800</v>
      </c>
      <c r="E148" s="270"/>
      <c r="F148" s="270"/>
      <c r="G148" s="270"/>
      <c r="H148" s="270"/>
      <c r="I148" s="270"/>
      <c r="J148" s="270"/>
      <c r="K148" s="270"/>
      <c r="L148" s="270"/>
      <c r="M148" s="270"/>
      <c r="N148" s="270"/>
      <c r="O148" s="270"/>
      <c r="P148" s="270"/>
      <c r="Q148" s="270"/>
      <c r="R148" s="270"/>
    </row>
    <row r="149" spans="1:18" s="225" customFormat="1" ht="12.75" customHeight="1" x14ac:dyDescent="0.2">
      <c r="A149" s="270"/>
      <c r="B149" s="231" t="s">
        <v>259</v>
      </c>
      <c r="C149" s="357">
        <f t="shared" si="31"/>
        <v>5070564.7176363636</v>
      </c>
      <c r="D149" s="368">
        <f>'Expenditure- NHC'!I152</f>
        <v>5413720.3427499998</v>
      </c>
      <c r="E149" s="270"/>
      <c r="F149" s="270"/>
      <c r="G149" s="270"/>
      <c r="H149" s="270"/>
      <c r="I149" s="270"/>
      <c r="J149" s="270"/>
      <c r="K149" s="270"/>
      <c r="L149" s="270"/>
      <c r="M149" s="270"/>
      <c r="N149" s="270"/>
      <c r="O149" s="270"/>
      <c r="P149" s="270"/>
      <c r="Q149" s="270"/>
      <c r="R149" s="270"/>
    </row>
    <row r="150" spans="1:18" s="225" customFormat="1" ht="12.75" customHeight="1" x14ac:dyDescent="0.2">
      <c r="A150" s="270"/>
      <c r="B150" s="231" t="s">
        <v>260</v>
      </c>
      <c r="C150" s="357">
        <f t="shared" si="31"/>
        <v>3000</v>
      </c>
      <c r="D150" s="368">
        <f>'Expenditure- NHC'!J152</f>
        <v>3000</v>
      </c>
      <c r="E150" s="270"/>
      <c r="F150" s="270"/>
      <c r="G150" s="270"/>
      <c r="H150" s="270"/>
      <c r="I150" s="270"/>
      <c r="J150" s="270"/>
      <c r="K150" s="270"/>
      <c r="L150" s="270"/>
      <c r="M150" s="270"/>
      <c r="N150" s="270"/>
      <c r="O150" s="270"/>
      <c r="P150" s="270"/>
      <c r="Q150" s="270"/>
      <c r="R150" s="270"/>
    </row>
    <row r="151" spans="1:18" s="225" customFormat="1" ht="12.75" customHeight="1" x14ac:dyDescent="0.2">
      <c r="A151" s="270"/>
      <c r="B151" s="231" t="s">
        <v>81</v>
      </c>
      <c r="C151" s="357">
        <f t="shared" si="31"/>
        <v>1121233.8436</v>
      </c>
      <c r="D151" s="368">
        <f>SUM(D152:D153)</f>
        <v>1196599.2408</v>
      </c>
      <c r="E151" s="270"/>
      <c r="F151" s="270"/>
      <c r="G151" s="270"/>
      <c r="H151" s="270"/>
      <c r="I151" s="270"/>
      <c r="J151" s="270"/>
      <c r="K151" s="270"/>
      <c r="L151" s="270"/>
      <c r="M151" s="270"/>
      <c r="N151" s="270"/>
      <c r="O151" s="270"/>
      <c r="P151" s="270"/>
      <c r="Q151" s="270"/>
      <c r="R151" s="270"/>
    </row>
    <row r="152" spans="1:18" s="225" customFormat="1" ht="12.75" customHeight="1" x14ac:dyDescent="0.2">
      <c r="A152" s="270"/>
      <c r="B152" s="231" t="s">
        <v>308</v>
      </c>
      <c r="C152" s="357">
        <f t="shared" si="31"/>
        <v>1121233.8436</v>
      </c>
      <c r="D152" s="368">
        <f>'Expenditure- NHC'!K152</f>
        <v>1196599.2408</v>
      </c>
      <c r="E152" s="270"/>
      <c r="F152" s="270"/>
      <c r="G152" s="270"/>
      <c r="H152" s="270"/>
      <c r="I152" s="270"/>
      <c r="J152" s="270"/>
      <c r="K152" s="270"/>
      <c r="L152" s="270"/>
      <c r="M152" s="270"/>
      <c r="N152" s="270"/>
      <c r="O152" s="270"/>
      <c r="P152" s="270"/>
      <c r="Q152" s="270"/>
      <c r="R152" s="270"/>
    </row>
    <row r="153" spans="1:18" s="225" customFormat="1" ht="12.75" customHeight="1" x14ac:dyDescent="0.2">
      <c r="A153" s="270"/>
      <c r="B153" s="231" t="s">
        <v>309</v>
      </c>
      <c r="C153" s="357">
        <f t="shared" si="31"/>
        <v>0</v>
      </c>
      <c r="D153" s="368">
        <f>'Expenditure- NHC'!L152</f>
        <v>0</v>
      </c>
      <c r="E153" s="270"/>
      <c r="F153" s="270"/>
      <c r="G153" s="270"/>
      <c r="H153" s="270"/>
      <c r="I153" s="270"/>
      <c r="J153" s="270"/>
      <c r="K153" s="270"/>
      <c r="L153" s="270"/>
      <c r="M153" s="270"/>
      <c r="N153" s="270"/>
      <c r="O153" s="270"/>
      <c r="P153" s="270"/>
      <c r="Q153" s="270"/>
      <c r="R153" s="270"/>
    </row>
    <row r="154" spans="1:18" s="225" customFormat="1" ht="12.75" customHeight="1" x14ac:dyDescent="0.2">
      <c r="A154" s="270"/>
      <c r="B154" s="231" t="s">
        <v>261</v>
      </c>
      <c r="C154" s="357">
        <f t="shared" si="31"/>
        <v>10424.030000000001</v>
      </c>
      <c r="D154" s="368">
        <f>'Expenditure- NHC'!M152</f>
        <v>11300</v>
      </c>
      <c r="E154" s="270"/>
      <c r="F154" s="270"/>
      <c r="G154" s="270"/>
      <c r="H154" s="270"/>
      <c r="I154" s="270"/>
      <c r="J154" s="270"/>
      <c r="K154" s="270"/>
      <c r="L154" s="270"/>
      <c r="M154" s="270"/>
      <c r="N154" s="270"/>
      <c r="O154" s="270"/>
      <c r="P154" s="270"/>
      <c r="Q154" s="270"/>
      <c r="R154" s="270"/>
    </row>
    <row r="155" spans="1:18" s="225" customFormat="1" ht="12.75" customHeight="1" x14ac:dyDescent="0.2">
      <c r="A155" s="270"/>
      <c r="B155" s="366" t="s">
        <v>253</v>
      </c>
      <c r="C155" s="357">
        <f t="shared" si="31"/>
        <v>0</v>
      </c>
      <c r="D155" s="368">
        <f>'Expenditure- NHC'!O152</f>
        <v>0</v>
      </c>
      <c r="E155" s="270"/>
      <c r="F155" s="270"/>
      <c r="G155" s="270"/>
      <c r="H155" s="270"/>
      <c r="I155" s="270"/>
      <c r="J155" s="270"/>
      <c r="K155" s="270"/>
      <c r="L155" s="270"/>
      <c r="M155" s="270"/>
      <c r="N155" s="270"/>
      <c r="O155" s="270"/>
      <c r="P155" s="270"/>
      <c r="Q155" s="270"/>
      <c r="R155" s="270"/>
    </row>
    <row r="156" spans="1:18" s="225" customFormat="1" ht="12.75" customHeight="1" x14ac:dyDescent="0.2">
      <c r="A156" s="270"/>
      <c r="B156" s="366" t="s">
        <v>254</v>
      </c>
      <c r="C156" s="357">
        <f t="shared" si="31"/>
        <v>0</v>
      </c>
      <c r="D156" s="368">
        <f>'Expenditure- NHC'!P152</f>
        <v>0</v>
      </c>
      <c r="E156" s="270"/>
      <c r="F156" s="270"/>
      <c r="G156" s="270"/>
      <c r="H156" s="270"/>
      <c r="I156" s="270"/>
      <c r="J156" s="270"/>
      <c r="K156" s="270"/>
      <c r="L156" s="270"/>
      <c r="M156" s="270"/>
      <c r="N156" s="270"/>
      <c r="O156" s="270"/>
      <c r="P156" s="270"/>
      <c r="Q156" s="270"/>
      <c r="R156" s="270"/>
    </row>
    <row r="157" spans="1:18" s="225" customFormat="1" ht="12.75" customHeight="1" x14ac:dyDescent="0.2">
      <c r="A157" s="270"/>
      <c r="B157" s="366" t="s">
        <v>255</v>
      </c>
      <c r="C157" s="357">
        <f t="shared" si="31"/>
        <v>0</v>
      </c>
      <c r="D157" s="368">
        <f>'Expenditure- NHC'!Q152</f>
        <v>0</v>
      </c>
      <c r="E157" s="270"/>
      <c r="F157" s="270"/>
      <c r="G157" s="270"/>
      <c r="H157" s="270"/>
      <c r="I157" s="270"/>
      <c r="J157" s="270"/>
      <c r="K157" s="270"/>
      <c r="L157" s="270"/>
      <c r="M157" s="270"/>
      <c r="N157" s="270"/>
      <c r="O157" s="270"/>
      <c r="P157" s="270"/>
      <c r="Q157" s="270"/>
      <c r="R157" s="270"/>
    </row>
    <row r="158" spans="1:18" s="225" customFormat="1" ht="12.75" customHeight="1" x14ac:dyDescent="0.2">
      <c r="A158" s="270"/>
      <c r="B158" s="231" t="s">
        <v>82</v>
      </c>
      <c r="C158" s="357">
        <f t="shared" si="31"/>
        <v>229078.61</v>
      </c>
      <c r="D158" s="368">
        <f>'Expenditure- NHC'!N152</f>
        <v>233123</v>
      </c>
      <c r="E158" s="270"/>
      <c r="F158" s="270"/>
      <c r="G158" s="270"/>
      <c r="H158" s="270"/>
      <c r="I158" s="270"/>
      <c r="J158" s="270"/>
      <c r="K158" s="270"/>
      <c r="L158" s="270"/>
      <c r="M158" s="270"/>
      <c r="N158" s="270"/>
      <c r="O158" s="270"/>
      <c r="P158" s="270"/>
      <c r="Q158" s="270"/>
      <c r="R158" s="270"/>
    </row>
    <row r="159" spans="1:18" s="225" customFormat="1" ht="12.75" customHeight="1" x14ac:dyDescent="0.2">
      <c r="A159" s="270"/>
      <c r="B159" s="379" t="s">
        <v>262</v>
      </c>
      <c r="C159" s="370">
        <f t="shared" si="31"/>
        <v>10281101.201236362</v>
      </c>
      <c r="D159" s="371">
        <f>SUM(D148:D151,D154:D158)</f>
        <v>10911542.583550001</v>
      </c>
      <c r="E159" s="270"/>
      <c r="F159" s="270"/>
      <c r="G159" s="270"/>
      <c r="H159" s="270"/>
      <c r="I159" s="270"/>
      <c r="J159" s="270"/>
      <c r="K159" s="270"/>
      <c r="L159" s="270"/>
      <c r="M159" s="270"/>
      <c r="N159" s="270"/>
      <c r="O159" s="270"/>
      <c r="P159" s="270"/>
      <c r="Q159" s="270"/>
      <c r="R159" s="270"/>
    </row>
    <row r="160" spans="1:18" s="225" customFormat="1" ht="12.75" customHeight="1" x14ac:dyDescent="0.2">
      <c r="A160" s="270"/>
      <c r="B160" s="272"/>
      <c r="C160" s="358"/>
      <c r="D160" s="358"/>
      <c r="E160" s="270"/>
      <c r="F160" s="270"/>
      <c r="G160" s="270"/>
      <c r="H160" s="270"/>
      <c r="I160" s="270"/>
      <c r="J160" s="270"/>
      <c r="K160" s="270"/>
      <c r="L160" s="270"/>
      <c r="M160" s="270"/>
      <c r="N160" s="270"/>
      <c r="O160" s="270"/>
      <c r="P160" s="270"/>
      <c r="Q160" s="270"/>
      <c r="R160" s="270"/>
    </row>
    <row r="161" spans="1:18" s="225" customFormat="1" ht="12.75" customHeight="1" x14ac:dyDescent="0.2">
      <c r="A161" s="270"/>
      <c r="B161" s="393" t="s">
        <v>158</v>
      </c>
      <c r="C161" s="407"/>
      <c r="D161" s="408"/>
      <c r="E161" s="270"/>
      <c r="F161" s="270"/>
      <c r="G161" s="270"/>
      <c r="H161" s="270"/>
      <c r="I161" s="270"/>
      <c r="J161" s="270"/>
      <c r="K161" s="270"/>
      <c r="L161" s="270"/>
      <c r="M161" s="270"/>
      <c r="N161" s="270"/>
      <c r="O161" s="270"/>
      <c r="P161" s="270"/>
      <c r="Q161" s="270"/>
      <c r="R161" s="270"/>
    </row>
    <row r="162" spans="1:18" s="225" customFormat="1" ht="12.75" customHeight="1" x14ac:dyDescent="0.2">
      <c r="A162" s="270"/>
      <c r="B162" s="282" t="s">
        <v>276</v>
      </c>
      <c r="C162" s="430"/>
      <c r="D162" s="431"/>
      <c r="E162" s="270"/>
      <c r="F162" s="270"/>
      <c r="G162" s="270"/>
      <c r="H162" s="270"/>
      <c r="I162" s="270"/>
      <c r="J162" s="270"/>
      <c r="K162" s="270"/>
      <c r="L162" s="270"/>
      <c r="M162" s="270"/>
      <c r="N162" s="270"/>
      <c r="O162" s="270"/>
      <c r="P162" s="270"/>
      <c r="Q162" s="270"/>
      <c r="R162" s="270"/>
    </row>
    <row r="163" spans="1:18" s="225" customFormat="1" ht="12.75" customHeight="1" x14ac:dyDescent="0.2">
      <c r="A163" s="270"/>
      <c r="B163" s="231" t="s">
        <v>277</v>
      </c>
      <c r="C163" s="357">
        <f>SUM(C164:C168)</f>
        <v>3847000</v>
      </c>
      <c r="D163" s="368">
        <f>SUM(D164:D168)</f>
        <v>3462200</v>
      </c>
      <c r="E163" s="270"/>
      <c r="F163" s="270"/>
      <c r="G163" s="270"/>
      <c r="H163" s="270"/>
      <c r="I163" s="270"/>
      <c r="J163" s="270"/>
      <c r="K163" s="270"/>
      <c r="L163" s="270"/>
      <c r="M163" s="270"/>
      <c r="N163" s="270"/>
      <c r="O163" s="270"/>
      <c r="P163" s="270"/>
      <c r="Q163" s="270"/>
      <c r="R163" s="270"/>
    </row>
    <row r="164" spans="1:18" s="225" customFormat="1" ht="12.75" customHeight="1" x14ac:dyDescent="0.2">
      <c r="A164" s="270"/>
      <c r="B164" s="231" t="s">
        <v>310</v>
      </c>
      <c r="C164" s="356">
        <f>C59</f>
        <v>87000</v>
      </c>
      <c r="D164" s="354">
        <f>D59</f>
        <v>87000</v>
      </c>
      <c r="E164" s="270"/>
      <c r="F164" s="270"/>
      <c r="G164" s="270"/>
      <c r="H164" s="270"/>
      <c r="I164" s="270"/>
      <c r="J164" s="270"/>
      <c r="K164" s="270"/>
      <c r="L164" s="270"/>
      <c r="M164" s="270"/>
      <c r="N164" s="270"/>
      <c r="O164" s="270"/>
      <c r="P164" s="270"/>
      <c r="Q164" s="270"/>
      <c r="R164" s="270"/>
    </row>
    <row r="165" spans="1:18" s="225" customFormat="1" ht="12.75" customHeight="1" x14ac:dyDescent="0.2">
      <c r="A165" s="270"/>
      <c r="B165" s="231" t="s">
        <v>311</v>
      </c>
      <c r="C165" s="356">
        <f t="shared" ref="C165:D165" si="32">C60</f>
        <v>0</v>
      </c>
      <c r="D165" s="354">
        <f t="shared" si="32"/>
        <v>0</v>
      </c>
      <c r="E165" s="270"/>
      <c r="F165" s="270"/>
      <c r="G165" s="270"/>
      <c r="H165" s="270"/>
      <c r="I165" s="270"/>
      <c r="J165" s="270"/>
      <c r="K165" s="270"/>
      <c r="L165" s="270"/>
      <c r="M165" s="270"/>
      <c r="N165" s="270"/>
      <c r="O165" s="270"/>
      <c r="P165" s="270"/>
      <c r="Q165" s="270"/>
      <c r="R165" s="270"/>
    </row>
    <row r="166" spans="1:18" s="225" customFormat="1" ht="12.75" customHeight="1" x14ac:dyDescent="0.2">
      <c r="A166" s="270"/>
      <c r="B166" s="231" t="s">
        <v>312</v>
      </c>
      <c r="C166" s="356">
        <f t="shared" ref="C166:D166" si="33">C61</f>
        <v>978000</v>
      </c>
      <c r="D166" s="354">
        <f t="shared" si="33"/>
        <v>1145000</v>
      </c>
      <c r="E166" s="270"/>
      <c r="F166" s="270"/>
      <c r="G166" s="270"/>
      <c r="H166" s="270"/>
      <c r="I166" s="270"/>
      <c r="J166" s="270"/>
      <c r="K166" s="270"/>
      <c r="L166" s="270"/>
      <c r="M166" s="270"/>
      <c r="N166" s="270"/>
      <c r="O166" s="270"/>
      <c r="P166" s="270"/>
      <c r="Q166" s="270"/>
      <c r="R166" s="270"/>
    </row>
    <row r="167" spans="1:18" s="225" customFormat="1" ht="12.75" customHeight="1" x14ac:dyDescent="0.2">
      <c r="A167" s="270"/>
      <c r="B167" s="231" t="s">
        <v>313</v>
      </c>
      <c r="C167" s="356">
        <f t="shared" ref="C167:D167" si="34">C62</f>
        <v>522000</v>
      </c>
      <c r="D167" s="354">
        <f t="shared" si="34"/>
        <v>1000</v>
      </c>
      <c r="E167" s="270"/>
      <c r="F167" s="270"/>
      <c r="G167" s="270"/>
      <c r="H167" s="270"/>
      <c r="I167" s="270"/>
      <c r="J167" s="270"/>
      <c r="K167" s="270"/>
      <c r="L167" s="270"/>
      <c r="M167" s="270"/>
      <c r="N167" s="270"/>
      <c r="O167" s="270"/>
      <c r="P167" s="270"/>
      <c r="Q167" s="270"/>
      <c r="R167" s="270"/>
    </row>
    <row r="168" spans="1:18" s="225" customFormat="1" ht="12.75" customHeight="1" x14ac:dyDescent="0.2">
      <c r="A168" s="270"/>
      <c r="B168" s="231" t="s">
        <v>314</v>
      </c>
      <c r="C168" s="356">
        <f t="shared" ref="C168" si="35">C63</f>
        <v>2260000</v>
      </c>
      <c r="D168" s="354">
        <f>D63-'[8]After meeting with Lenny 300517'!$D$17</f>
        <v>2229200</v>
      </c>
      <c r="E168" s="270"/>
      <c r="F168" s="270"/>
      <c r="G168" s="270"/>
      <c r="H168" s="270"/>
      <c r="I168" s="270"/>
      <c r="J168" s="270"/>
      <c r="K168" s="270"/>
      <c r="L168" s="270"/>
      <c r="M168" s="270"/>
      <c r="N168" s="270"/>
      <c r="O168" s="270"/>
      <c r="P168" s="270"/>
      <c r="Q168" s="270"/>
      <c r="R168" s="270"/>
    </row>
    <row r="169" spans="1:18" s="225" customFormat="1" ht="12.75" customHeight="1" x14ac:dyDescent="0.2">
      <c r="A169" s="270"/>
      <c r="B169" s="231" t="s">
        <v>301</v>
      </c>
      <c r="C169" s="356">
        <f t="shared" ref="C169:D169" si="36">C64</f>
        <v>350000</v>
      </c>
      <c r="D169" s="354">
        <f t="shared" si="36"/>
        <v>350000</v>
      </c>
      <c r="E169" s="270"/>
      <c r="F169" s="270"/>
      <c r="G169" s="270"/>
      <c r="H169" s="270"/>
      <c r="I169" s="270"/>
      <c r="J169" s="270"/>
      <c r="K169" s="270"/>
      <c r="L169" s="270"/>
      <c r="M169" s="270"/>
      <c r="N169" s="270"/>
      <c r="O169" s="270"/>
      <c r="P169" s="270"/>
      <c r="Q169" s="270"/>
      <c r="R169" s="270"/>
    </row>
    <row r="170" spans="1:18" s="225" customFormat="1" ht="12.75" customHeight="1" x14ac:dyDescent="0.2">
      <c r="A170" s="270"/>
      <c r="B170" s="231" t="s">
        <v>278</v>
      </c>
      <c r="C170" s="356">
        <f t="shared" ref="C170:D170" si="37">C65</f>
        <v>5000</v>
      </c>
      <c r="D170" s="354">
        <f t="shared" si="37"/>
        <v>5000</v>
      </c>
      <c r="E170" s="270"/>
      <c r="F170" s="270"/>
      <c r="G170" s="270"/>
      <c r="H170" s="270"/>
      <c r="I170" s="270"/>
      <c r="J170" s="270"/>
      <c r="K170" s="270"/>
      <c r="L170" s="270"/>
      <c r="M170" s="270"/>
      <c r="N170" s="270"/>
      <c r="O170" s="270"/>
      <c r="P170" s="270"/>
      <c r="Q170" s="270"/>
      <c r="R170" s="270"/>
    </row>
    <row r="171" spans="1:18" s="225" customFormat="1" ht="12.75" customHeight="1" x14ac:dyDescent="0.2">
      <c r="A171" s="270"/>
      <c r="B171" s="231" t="s">
        <v>279</v>
      </c>
      <c r="C171" s="356">
        <f t="shared" ref="C171:D171" si="38">C66</f>
        <v>0</v>
      </c>
      <c r="D171" s="354">
        <f t="shared" si="38"/>
        <v>0</v>
      </c>
      <c r="E171" s="270"/>
      <c r="F171" s="270"/>
      <c r="G171" s="270"/>
      <c r="H171" s="270"/>
      <c r="I171" s="270"/>
      <c r="J171" s="270"/>
      <c r="K171" s="270"/>
      <c r="L171" s="270"/>
      <c r="M171" s="270"/>
      <c r="N171" s="270"/>
      <c r="O171" s="270"/>
      <c r="P171" s="270"/>
      <c r="Q171" s="270"/>
      <c r="R171" s="270"/>
    </row>
    <row r="172" spans="1:18" s="225" customFormat="1" ht="12.75" customHeight="1" x14ac:dyDescent="0.2">
      <c r="A172" s="270"/>
      <c r="B172" s="231" t="s">
        <v>280</v>
      </c>
      <c r="C172" s="356">
        <f t="shared" ref="C172:D172" si="39">C67</f>
        <v>200000</v>
      </c>
      <c r="D172" s="354">
        <f t="shared" si="39"/>
        <v>200000</v>
      </c>
      <c r="E172" s="270"/>
      <c r="F172" s="270"/>
      <c r="G172" s="270"/>
      <c r="H172" s="270"/>
      <c r="I172" s="270"/>
      <c r="J172" s="270"/>
      <c r="K172" s="270"/>
      <c r="L172" s="270"/>
      <c r="M172" s="270"/>
      <c r="N172" s="270"/>
      <c r="O172" s="270"/>
      <c r="P172" s="270"/>
      <c r="Q172" s="270"/>
      <c r="R172" s="270"/>
    </row>
    <row r="173" spans="1:18" s="225" customFormat="1" ht="12.75" customHeight="1" x14ac:dyDescent="0.2">
      <c r="A173" s="270"/>
      <c r="B173" s="231" t="s">
        <v>281</v>
      </c>
      <c r="C173" s="355">
        <f>SUM(C164:C172)</f>
        <v>4402000</v>
      </c>
      <c r="D173" s="355">
        <f>SUM(D164:D172)</f>
        <v>4017200</v>
      </c>
      <c r="E173" s="270"/>
      <c r="F173" s="270"/>
      <c r="G173" s="270"/>
      <c r="H173" s="270"/>
      <c r="I173" s="270"/>
      <c r="J173" s="270"/>
      <c r="K173" s="270"/>
      <c r="L173" s="270"/>
      <c r="M173" s="270"/>
      <c r="N173" s="270"/>
      <c r="O173" s="270"/>
      <c r="P173" s="270"/>
      <c r="Q173" s="270"/>
      <c r="R173" s="270"/>
    </row>
    <row r="174" spans="1:18" s="225" customFormat="1" ht="12.75" customHeight="1" x14ac:dyDescent="0.2">
      <c r="A174" s="270"/>
      <c r="B174" s="282"/>
      <c r="C174" s="430"/>
      <c r="D174" s="431"/>
      <c r="E174" s="270"/>
      <c r="F174" s="270"/>
      <c r="G174" s="270"/>
      <c r="H174" s="270"/>
      <c r="I174" s="270"/>
      <c r="J174" s="270"/>
      <c r="K174" s="270"/>
      <c r="L174" s="270"/>
      <c r="M174" s="270"/>
      <c r="N174" s="270"/>
      <c r="O174" s="270"/>
      <c r="P174" s="270"/>
      <c r="Q174" s="270"/>
      <c r="R174" s="270"/>
    </row>
    <row r="175" spans="1:18" s="225" customFormat="1" ht="12.75" customHeight="1" x14ac:dyDescent="0.2">
      <c r="A175" s="270"/>
      <c r="B175" s="282" t="s">
        <v>282</v>
      </c>
      <c r="C175" s="430"/>
      <c r="D175" s="431"/>
      <c r="E175" s="270"/>
      <c r="F175" s="270"/>
      <c r="G175" s="270"/>
      <c r="H175" s="270"/>
      <c r="I175" s="270"/>
      <c r="J175" s="270"/>
      <c r="K175" s="270"/>
      <c r="L175" s="270"/>
      <c r="M175" s="270"/>
      <c r="N175" s="270"/>
      <c r="O175" s="270"/>
      <c r="P175" s="270"/>
      <c r="Q175" s="270"/>
      <c r="R175" s="270"/>
    </row>
    <row r="176" spans="1:18" s="225" customFormat="1" ht="12.75" customHeight="1" x14ac:dyDescent="0.2">
      <c r="A176" s="270"/>
      <c r="B176" s="231" t="s">
        <v>301</v>
      </c>
      <c r="C176" s="356">
        <f>C71</f>
        <v>0</v>
      </c>
      <c r="D176" s="356">
        <f>D71</f>
        <v>0</v>
      </c>
      <c r="E176" s="270"/>
      <c r="F176" s="270"/>
      <c r="G176" s="270"/>
      <c r="H176" s="270"/>
      <c r="I176" s="270"/>
      <c r="J176" s="270"/>
      <c r="K176" s="270"/>
      <c r="L176" s="270"/>
      <c r="M176" s="270"/>
      <c r="N176" s="270"/>
      <c r="O176" s="270"/>
      <c r="P176" s="270"/>
      <c r="Q176" s="270"/>
      <c r="R176" s="270"/>
    </row>
    <row r="177" spans="1:18" s="225" customFormat="1" ht="12.75" customHeight="1" x14ac:dyDescent="0.2">
      <c r="A177" s="270"/>
      <c r="B177" s="231" t="s">
        <v>283</v>
      </c>
      <c r="C177" s="356">
        <f t="shared" ref="C177:D177" si="40">C72</f>
        <v>240000</v>
      </c>
      <c r="D177" s="356">
        <f t="shared" si="40"/>
        <v>240000</v>
      </c>
      <c r="E177" s="270"/>
      <c r="F177" s="270"/>
      <c r="G177" s="270"/>
      <c r="H177" s="270"/>
      <c r="I177" s="270"/>
      <c r="J177" s="270"/>
      <c r="K177" s="270"/>
      <c r="L177" s="270"/>
      <c r="M177" s="270"/>
      <c r="N177" s="270"/>
      <c r="O177" s="270"/>
      <c r="P177" s="270"/>
      <c r="Q177" s="270"/>
      <c r="R177" s="270"/>
    </row>
    <row r="178" spans="1:18" s="225" customFormat="1" ht="12.75" customHeight="1" x14ac:dyDescent="0.2">
      <c r="A178" s="270"/>
      <c r="B178" s="231" t="s">
        <v>284</v>
      </c>
      <c r="C178" s="356">
        <f t="shared" ref="C178:D178" si="41">C73</f>
        <v>126209000</v>
      </c>
      <c r="D178" s="356">
        <f t="shared" si="41"/>
        <v>129166000</v>
      </c>
      <c r="E178" s="270"/>
      <c r="F178" s="270"/>
      <c r="G178" s="270"/>
      <c r="H178" s="270"/>
      <c r="I178" s="270"/>
      <c r="J178" s="270"/>
      <c r="K178" s="270"/>
      <c r="L178" s="270"/>
      <c r="M178" s="270"/>
      <c r="N178" s="270"/>
      <c r="O178" s="270"/>
      <c r="P178" s="270"/>
      <c r="Q178" s="270"/>
      <c r="R178" s="270"/>
    </row>
    <row r="179" spans="1:18" s="225" customFormat="1" ht="12.75" customHeight="1" x14ac:dyDescent="0.2">
      <c r="A179" s="270"/>
      <c r="B179" s="231" t="s">
        <v>285</v>
      </c>
      <c r="C179" s="356">
        <f t="shared" ref="C179:D179" si="42">C74</f>
        <v>0</v>
      </c>
      <c r="D179" s="356">
        <f t="shared" si="42"/>
        <v>0</v>
      </c>
      <c r="E179" s="270"/>
      <c r="F179" s="270"/>
      <c r="G179" s="270"/>
      <c r="H179" s="270"/>
      <c r="I179" s="270"/>
      <c r="J179" s="270"/>
      <c r="K179" s="270"/>
      <c r="L179" s="270"/>
      <c r="M179" s="270"/>
      <c r="N179" s="270"/>
      <c r="O179" s="270"/>
      <c r="P179" s="270"/>
      <c r="Q179" s="270"/>
      <c r="R179" s="270"/>
    </row>
    <row r="180" spans="1:18" s="225" customFormat="1" ht="12.75" customHeight="1" x14ac:dyDescent="0.2">
      <c r="A180" s="270"/>
      <c r="B180" s="231" t="s">
        <v>286</v>
      </c>
      <c r="C180" s="356">
        <f t="shared" ref="C180:D180" si="43">C75</f>
        <v>0</v>
      </c>
      <c r="D180" s="356">
        <f t="shared" si="43"/>
        <v>0</v>
      </c>
      <c r="E180" s="270"/>
      <c r="F180" s="270"/>
      <c r="G180" s="270"/>
      <c r="H180" s="270"/>
      <c r="I180" s="270"/>
      <c r="J180" s="270"/>
      <c r="K180" s="270"/>
      <c r="L180" s="270"/>
      <c r="M180" s="270"/>
      <c r="N180" s="270"/>
      <c r="O180" s="270"/>
      <c r="P180" s="270"/>
      <c r="Q180" s="270"/>
      <c r="R180" s="270"/>
    </row>
    <row r="181" spans="1:18" s="225" customFormat="1" ht="12.75" customHeight="1" x14ac:dyDescent="0.2">
      <c r="A181" s="270"/>
      <c r="B181" s="231" t="s">
        <v>287</v>
      </c>
      <c r="C181" s="355">
        <f>SUM(C176:C180)</f>
        <v>126449000</v>
      </c>
      <c r="D181" s="378">
        <f>SUM(D176:D180)</f>
        <v>129406000</v>
      </c>
      <c r="E181" s="270"/>
      <c r="F181" s="270"/>
      <c r="G181" s="270"/>
      <c r="H181" s="270"/>
      <c r="I181" s="270"/>
      <c r="J181" s="270"/>
      <c r="K181" s="270"/>
      <c r="L181" s="270"/>
      <c r="M181" s="270"/>
      <c r="N181" s="270"/>
      <c r="O181" s="270"/>
      <c r="P181" s="270"/>
      <c r="Q181" s="270"/>
      <c r="R181" s="270"/>
    </row>
    <row r="182" spans="1:18" s="225" customFormat="1" ht="12.75" customHeight="1" x14ac:dyDescent="0.2">
      <c r="A182" s="270"/>
      <c r="B182" s="231" t="s">
        <v>145</v>
      </c>
      <c r="C182" s="355">
        <f>C181+C173</f>
        <v>130851000</v>
      </c>
      <c r="D182" s="378">
        <f>D181+D173</f>
        <v>133423200</v>
      </c>
      <c r="E182" s="270"/>
      <c r="F182" s="270"/>
      <c r="G182" s="270"/>
      <c r="H182" s="270"/>
      <c r="I182" s="270"/>
      <c r="J182" s="270"/>
      <c r="K182" s="270"/>
      <c r="L182" s="270"/>
      <c r="M182" s="270"/>
      <c r="N182" s="270"/>
      <c r="O182" s="270"/>
      <c r="P182" s="270"/>
      <c r="Q182" s="270"/>
      <c r="R182" s="270"/>
    </row>
    <row r="183" spans="1:18" s="225" customFormat="1" ht="12.75" customHeight="1" x14ac:dyDescent="0.2">
      <c r="A183" s="270"/>
      <c r="B183" s="282"/>
      <c r="C183" s="430"/>
      <c r="D183" s="431"/>
      <c r="E183" s="270"/>
      <c r="F183" s="270"/>
      <c r="G183" s="270"/>
      <c r="H183" s="270"/>
      <c r="I183" s="270"/>
      <c r="J183" s="270"/>
      <c r="K183" s="270"/>
      <c r="L183" s="270"/>
      <c r="M183" s="270"/>
      <c r="N183" s="270"/>
      <c r="O183" s="270"/>
      <c r="P183" s="270"/>
      <c r="Q183" s="270"/>
      <c r="R183" s="270"/>
    </row>
    <row r="184" spans="1:18" s="225" customFormat="1" ht="12.75" customHeight="1" x14ac:dyDescent="0.2">
      <c r="A184" s="270"/>
      <c r="B184" s="336" t="s">
        <v>288</v>
      </c>
      <c r="C184" s="430"/>
      <c r="D184" s="431"/>
      <c r="E184" s="270"/>
      <c r="F184" s="270"/>
      <c r="G184" s="270"/>
      <c r="H184" s="270"/>
      <c r="I184" s="270"/>
      <c r="J184" s="270"/>
      <c r="K184" s="270"/>
      <c r="L184" s="270"/>
      <c r="M184" s="270"/>
      <c r="N184" s="270"/>
      <c r="O184" s="270"/>
      <c r="P184" s="270"/>
      <c r="Q184" s="270"/>
      <c r="R184" s="270"/>
    </row>
    <row r="185" spans="1:18" s="225" customFormat="1" ht="12.75" customHeight="1" x14ac:dyDescent="0.2">
      <c r="A185" s="270"/>
      <c r="B185" s="282" t="s">
        <v>289</v>
      </c>
      <c r="C185" s="430"/>
      <c r="D185" s="431"/>
      <c r="E185" s="270"/>
      <c r="F185" s="270"/>
      <c r="G185" s="270"/>
      <c r="H185" s="270"/>
      <c r="I185" s="270"/>
      <c r="J185" s="270"/>
      <c r="K185" s="270"/>
      <c r="L185" s="270"/>
      <c r="M185" s="270"/>
      <c r="N185" s="270"/>
      <c r="O185" s="270"/>
      <c r="P185" s="270"/>
      <c r="Q185" s="270"/>
      <c r="R185" s="270"/>
    </row>
    <row r="186" spans="1:18" s="225" customFormat="1" ht="12.75" customHeight="1" x14ac:dyDescent="0.2">
      <c r="A186" s="270"/>
      <c r="B186" s="231" t="s">
        <v>290</v>
      </c>
      <c r="C186" s="356">
        <f>C81</f>
        <v>592000</v>
      </c>
      <c r="D186" s="356">
        <f>D81</f>
        <v>835000</v>
      </c>
      <c r="E186" s="270"/>
      <c r="F186" s="270"/>
      <c r="G186" s="270"/>
      <c r="H186" s="270"/>
      <c r="I186" s="270"/>
      <c r="J186" s="270"/>
      <c r="K186" s="270"/>
      <c r="L186" s="270"/>
      <c r="M186" s="270"/>
      <c r="N186" s="270"/>
      <c r="O186" s="270"/>
      <c r="P186" s="270"/>
      <c r="Q186" s="270"/>
      <c r="R186" s="270"/>
    </row>
    <row r="187" spans="1:18" s="225" customFormat="1" ht="12.75" customHeight="1" x14ac:dyDescent="0.2">
      <c r="A187" s="270"/>
      <c r="B187" s="231" t="s">
        <v>291</v>
      </c>
      <c r="C187" s="356">
        <f t="shared" ref="C187:D187" si="44">C82</f>
        <v>87000</v>
      </c>
      <c r="D187" s="356">
        <f t="shared" si="44"/>
        <v>87000</v>
      </c>
      <c r="E187" s="270"/>
      <c r="F187" s="270"/>
      <c r="G187" s="270"/>
      <c r="H187" s="270"/>
      <c r="I187" s="270"/>
      <c r="J187" s="270"/>
      <c r="K187" s="270"/>
      <c r="L187" s="270"/>
      <c r="M187" s="270"/>
      <c r="N187" s="270"/>
      <c r="O187" s="270"/>
      <c r="P187" s="270"/>
      <c r="Q187" s="270"/>
      <c r="R187" s="270"/>
    </row>
    <row r="188" spans="1:18" s="225" customFormat="1" ht="12.75" customHeight="1" x14ac:dyDescent="0.2">
      <c r="A188" s="270"/>
      <c r="B188" s="231" t="s">
        <v>302</v>
      </c>
      <c r="C188" s="356">
        <f t="shared" ref="C188:D188" si="45">C83</f>
        <v>910000</v>
      </c>
      <c r="D188" s="356">
        <f t="shared" si="45"/>
        <v>933000</v>
      </c>
      <c r="E188" s="270"/>
      <c r="F188" s="270"/>
      <c r="G188" s="270"/>
      <c r="H188" s="270"/>
      <c r="I188" s="270"/>
      <c r="J188" s="270"/>
      <c r="K188" s="270"/>
      <c r="L188" s="270"/>
      <c r="M188" s="270"/>
      <c r="N188" s="270"/>
      <c r="O188" s="270"/>
      <c r="P188" s="270"/>
      <c r="Q188" s="270"/>
      <c r="R188" s="270"/>
    </row>
    <row r="189" spans="1:18" s="225" customFormat="1" ht="12.75" customHeight="1" x14ac:dyDescent="0.2">
      <c r="A189" s="270"/>
      <c r="B189" s="231" t="s">
        <v>292</v>
      </c>
      <c r="C189" s="356">
        <f t="shared" ref="C189:D190" si="46">C84</f>
        <v>107000</v>
      </c>
      <c r="D189" s="356">
        <f t="shared" si="46"/>
        <v>78000</v>
      </c>
      <c r="E189" s="270"/>
      <c r="F189" s="270"/>
      <c r="G189" s="270"/>
      <c r="H189" s="270"/>
      <c r="I189" s="270"/>
      <c r="J189" s="270"/>
      <c r="K189" s="270"/>
      <c r="L189" s="270"/>
      <c r="M189" s="270"/>
      <c r="N189" s="270"/>
      <c r="O189" s="270"/>
      <c r="P189" s="270"/>
      <c r="Q189" s="270"/>
      <c r="R189" s="270"/>
    </row>
    <row r="190" spans="1:18" s="225" customFormat="1" ht="12.75" customHeight="1" x14ac:dyDescent="0.2">
      <c r="A190" s="270"/>
      <c r="B190" s="231" t="s">
        <v>503</v>
      </c>
      <c r="C190" s="356">
        <f t="shared" si="46"/>
        <v>75000</v>
      </c>
      <c r="D190" s="356">
        <f t="shared" si="46"/>
        <v>75000</v>
      </c>
      <c r="E190" s="270"/>
      <c r="F190" s="270"/>
      <c r="G190" s="270"/>
      <c r="H190" s="270"/>
      <c r="I190" s="270"/>
      <c r="J190" s="270"/>
      <c r="K190" s="270"/>
      <c r="L190" s="270"/>
      <c r="M190" s="270"/>
      <c r="N190" s="270"/>
      <c r="O190" s="270"/>
      <c r="P190" s="270"/>
      <c r="Q190" s="270"/>
      <c r="R190" s="270"/>
    </row>
    <row r="191" spans="1:18" s="225" customFormat="1" ht="12.75" customHeight="1" x14ac:dyDescent="0.2">
      <c r="A191" s="270"/>
      <c r="B191" s="231" t="s">
        <v>293</v>
      </c>
      <c r="C191" s="355">
        <f>SUM(C186:C190)</f>
        <v>1771000</v>
      </c>
      <c r="D191" s="378">
        <f>SUM(D186:D190)</f>
        <v>2008000</v>
      </c>
      <c r="E191" s="270"/>
      <c r="F191" s="270"/>
      <c r="G191" s="270"/>
      <c r="H191" s="270"/>
      <c r="I191" s="270"/>
      <c r="J191" s="270"/>
      <c r="K191" s="270"/>
      <c r="L191" s="270"/>
      <c r="M191" s="270"/>
      <c r="N191" s="270"/>
      <c r="O191" s="270"/>
      <c r="P191" s="270"/>
      <c r="Q191" s="270"/>
      <c r="R191" s="270"/>
    </row>
    <row r="192" spans="1:18" s="225" customFormat="1" ht="12.75" customHeight="1" x14ac:dyDescent="0.2">
      <c r="A192" s="270"/>
      <c r="B192" s="282"/>
      <c r="C192" s="430"/>
      <c r="D192" s="431"/>
      <c r="E192" s="270"/>
      <c r="F192" s="270"/>
      <c r="G192" s="270"/>
      <c r="H192" s="270"/>
      <c r="I192" s="270"/>
      <c r="J192" s="270"/>
      <c r="K192" s="270"/>
      <c r="L192" s="270"/>
      <c r="M192" s="270"/>
      <c r="N192" s="270"/>
      <c r="O192" s="270"/>
      <c r="P192" s="270"/>
      <c r="Q192" s="270"/>
      <c r="R192" s="270"/>
    </row>
    <row r="193" spans="1:18" s="225" customFormat="1" ht="12.75" customHeight="1" x14ac:dyDescent="0.2">
      <c r="A193" s="270"/>
      <c r="B193" s="282" t="s">
        <v>294</v>
      </c>
      <c r="C193" s="430"/>
      <c r="D193" s="431"/>
      <c r="E193" s="270"/>
      <c r="F193" s="270"/>
      <c r="G193" s="270"/>
      <c r="H193" s="270"/>
      <c r="I193" s="270"/>
      <c r="J193" s="270"/>
      <c r="K193" s="270"/>
      <c r="L193" s="270"/>
      <c r="M193" s="270"/>
      <c r="N193" s="270"/>
      <c r="O193" s="270"/>
      <c r="P193" s="270"/>
      <c r="Q193" s="270"/>
      <c r="R193" s="270"/>
    </row>
    <row r="194" spans="1:18" s="225" customFormat="1" ht="12.75" customHeight="1" x14ac:dyDescent="0.2">
      <c r="A194" s="270"/>
      <c r="B194" s="231" t="s">
        <v>290</v>
      </c>
      <c r="C194" s="356">
        <f>C89</f>
        <v>0</v>
      </c>
      <c r="D194" s="356">
        <f>D89</f>
        <v>0</v>
      </c>
      <c r="E194" s="270"/>
      <c r="F194" s="270"/>
      <c r="G194" s="270"/>
      <c r="H194" s="270"/>
      <c r="I194" s="270"/>
      <c r="J194" s="270"/>
      <c r="K194" s="270"/>
      <c r="L194" s="270"/>
      <c r="M194" s="270"/>
      <c r="N194" s="270"/>
      <c r="O194" s="270"/>
      <c r="P194" s="270"/>
      <c r="Q194" s="270"/>
      <c r="R194" s="270"/>
    </row>
    <row r="195" spans="1:18" s="225" customFormat="1" ht="12.75" customHeight="1" x14ac:dyDescent="0.2">
      <c r="A195" s="270"/>
      <c r="B195" s="231" t="s">
        <v>302</v>
      </c>
      <c r="C195" s="356">
        <f t="shared" ref="C195:D195" si="47">C90</f>
        <v>64000</v>
      </c>
      <c r="D195" s="356">
        <f t="shared" si="47"/>
        <v>66000</v>
      </c>
      <c r="E195" s="270"/>
      <c r="F195" s="270"/>
      <c r="G195" s="270"/>
      <c r="H195" s="270"/>
      <c r="I195" s="270"/>
      <c r="J195" s="270"/>
      <c r="K195" s="270"/>
      <c r="L195" s="270"/>
      <c r="M195" s="270"/>
      <c r="N195" s="270"/>
      <c r="O195" s="270"/>
      <c r="P195" s="270"/>
      <c r="Q195" s="270"/>
      <c r="R195" s="270"/>
    </row>
    <row r="196" spans="1:18" s="225" customFormat="1" ht="12.75" customHeight="1" x14ac:dyDescent="0.2">
      <c r="A196" s="270"/>
      <c r="B196" s="231" t="s">
        <v>292</v>
      </c>
      <c r="C196" s="356">
        <f t="shared" ref="C196:D196" si="48">C91</f>
        <v>0</v>
      </c>
      <c r="D196" s="356">
        <f t="shared" si="48"/>
        <v>155000</v>
      </c>
      <c r="E196" s="270"/>
      <c r="F196" s="270"/>
      <c r="G196" s="270"/>
      <c r="H196" s="270"/>
      <c r="I196" s="270"/>
      <c r="J196" s="270"/>
      <c r="K196" s="270"/>
      <c r="L196" s="270"/>
      <c r="M196" s="270"/>
      <c r="N196" s="270"/>
      <c r="O196" s="270"/>
      <c r="P196" s="270"/>
      <c r="Q196" s="270"/>
      <c r="R196" s="270"/>
    </row>
    <row r="197" spans="1:18" s="225" customFormat="1" ht="12.75" customHeight="1" x14ac:dyDescent="0.2">
      <c r="A197" s="270"/>
      <c r="B197" s="231" t="s">
        <v>295</v>
      </c>
      <c r="C197" s="355">
        <f>SUM(C194:C196)</f>
        <v>64000</v>
      </c>
      <c r="D197" s="378">
        <f>SUM(D194:D196)</f>
        <v>221000</v>
      </c>
      <c r="E197" s="270"/>
      <c r="F197" s="270"/>
      <c r="G197" s="270"/>
      <c r="H197" s="270"/>
      <c r="I197" s="270"/>
      <c r="J197" s="270"/>
      <c r="K197" s="270"/>
      <c r="L197" s="270"/>
      <c r="M197" s="270"/>
      <c r="N197" s="270"/>
      <c r="O197" s="270"/>
      <c r="P197" s="270"/>
      <c r="Q197" s="270"/>
      <c r="R197" s="270"/>
    </row>
    <row r="198" spans="1:18" s="225" customFormat="1" ht="12.75" customHeight="1" x14ac:dyDescent="0.2">
      <c r="A198" s="270"/>
      <c r="B198" s="231" t="s">
        <v>296</v>
      </c>
      <c r="C198" s="543">
        <f>C197+C191</f>
        <v>1835000</v>
      </c>
      <c r="D198" s="544">
        <f>D197+D191</f>
        <v>2229000</v>
      </c>
      <c r="E198" s="270"/>
      <c r="F198" s="270"/>
      <c r="G198" s="270"/>
      <c r="H198" s="270"/>
      <c r="I198" s="270"/>
      <c r="J198" s="270"/>
      <c r="K198" s="270"/>
      <c r="L198" s="270"/>
      <c r="M198" s="270"/>
      <c r="N198" s="270"/>
      <c r="O198" s="270"/>
      <c r="P198" s="270"/>
      <c r="Q198" s="270"/>
      <c r="R198" s="270"/>
    </row>
    <row r="199" spans="1:18" s="225" customFormat="1" ht="12.75" customHeight="1" x14ac:dyDescent="0.2">
      <c r="A199" s="270"/>
      <c r="B199" s="282"/>
      <c r="C199" s="430"/>
      <c r="D199" s="431"/>
      <c r="E199" s="270"/>
      <c r="F199" s="270"/>
      <c r="G199" s="270"/>
      <c r="H199" s="270"/>
      <c r="I199" s="270"/>
      <c r="J199" s="270"/>
      <c r="K199" s="270"/>
      <c r="L199" s="270"/>
      <c r="M199" s="270"/>
      <c r="N199" s="270"/>
      <c r="O199" s="270"/>
      <c r="P199" s="270"/>
      <c r="Q199" s="270"/>
      <c r="R199" s="270"/>
    </row>
    <row r="200" spans="1:18" s="225" customFormat="1" ht="12.75" customHeight="1" x14ac:dyDescent="0.2">
      <c r="A200" s="270"/>
      <c r="B200" s="231" t="s">
        <v>297</v>
      </c>
      <c r="C200" s="436">
        <f>C182-C198</f>
        <v>129016000</v>
      </c>
      <c r="D200" s="437">
        <f>D182-D198</f>
        <v>131194200</v>
      </c>
      <c r="E200" s="270"/>
      <c r="F200" s="270"/>
      <c r="G200" s="270"/>
      <c r="H200" s="270"/>
      <c r="I200" s="270"/>
      <c r="J200" s="270"/>
      <c r="K200" s="270"/>
      <c r="L200" s="270"/>
      <c r="M200" s="270"/>
      <c r="N200" s="270"/>
      <c r="O200" s="270"/>
      <c r="P200" s="270"/>
      <c r="Q200" s="270"/>
      <c r="R200" s="270"/>
    </row>
    <row r="201" spans="1:18" s="225" customFormat="1" ht="12.75" customHeight="1" x14ac:dyDescent="0.2">
      <c r="A201" s="270"/>
      <c r="B201" s="282"/>
      <c r="C201" s="430"/>
      <c r="D201" s="431"/>
      <c r="E201" s="270"/>
      <c r="F201" s="270"/>
      <c r="G201" s="270"/>
      <c r="H201" s="270"/>
      <c r="I201" s="270"/>
      <c r="J201" s="270"/>
      <c r="K201" s="270"/>
      <c r="L201" s="270"/>
      <c r="M201" s="270"/>
      <c r="N201" s="270"/>
      <c r="O201" s="270"/>
      <c r="P201" s="270"/>
      <c r="Q201" s="270"/>
      <c r="R201" s="270"/>
    </row>
    <row r="202" spans="1:18" s="225" customFormat="1" ht="12.75" customHeight="1" x14ac:dyDescent="0.2">
      <c r="A202" s="270"/>
      <c r="B202" s="336" t="s">
        <v>298</v>
      </c>
      <c r="C202" s="430"/>
      <c r="D202" s="431"/>
      <c r="E202" s="270"/>
      <c r="F202" s="270"/>
      <c r="G202" s="270"/>
      <c r="H202" s="270"/>
      <c r="I202" s="270"/>
      <c r="J202" s="270"/>
      <c r="K202" s="270"/>
      <c r="L202" s="270"/>
      <c r="M202" s="270"/>
      <c r="N202" s="270"/>
      <c r="O202" s="270"/>
      <c r="P202" s="270"/>
      <c r="Q202" s="270"/>
      <c r="R202" s="270"/>
    </row>
    <row r="203" spans="1:18" s="225" customFormat="1" ht="12.75" customHeight="1" x14ac:dyDescent="0.2">
      <c r="A203" s="270"/>
      <c r="B203" s="231" t="s">
        <v>299</v>
      </c>
      <c r="C203" s="356">
        <f>C98</f>
        <v>89707000</v>
      </c>
      <c r="D203" s="356">
        <f>D98</f>
        <v>92191000</v>
      </c>
      <c r="E203" s="270"/>
      <c r="F203" s="270"/>
      <c r="G203" s="270"/>
      <c r="H203" s="270"/>
      <c r="I203" s="270"/>
      <c r="J203" s="270"/>
      <c r="K203" s="270"/>
      <c r="L203" s="270"/>
      <c r="M203" s="270"/>
      <c r="N203" s="270"/>
      <c r="O203" s="270"/>
      <c r="P203" s="270"/>
      <c r="Q203" s="270"/>
      <c r="R203" s="270"/>
    </row>
    <row r="204" spans="1:18" s="225" customFormat="1" ht="12.75" customHeight="1" x14ac:dyDescent="0.2">
      <c r="A204" s="270"/>
      <c r="B204" s="231" t="s">
        <v>111</v>
      </c>
      <c r="C204" s="357">
        <f>SUM(C205:C207)</f>
        <v>39309000</v>
      </c>
      <c r="D204" s="368">
        <f>SUM(D205:D207)</f>
        <v>39003200</v>
      </c>
      <c r="E204" s="270"/>
      <c r="F204" s="270"/>
      <c r="G204" s="270"/>
      <c r="H204" s="270"/>
      <c r="I204" s="270"/>
      <c r="J204" s="270"/>
      <c r="K204" s="270"/>
      <c r="L204" s="270"/>
      <c r="M204" s="270"/>
      <c r="N204" s="270"/>
      <c r="O204" s="270"/>
      <c r="P204" s="270"/>
      <c r="Q204" s="270"/>
      <c r="R204" s="270"/>
    </row>
    <row r="205" spans="1:18" s="225" customFormat="1" ht="12.75" customHeight="1" x14ac:dyDescent="0.2">
      <c r="A205" s="270"/>
      <c r="B205" s="231" t="s">
        <v>315</v>
      </c>
      <c r="C205" s="356">
        <f>C100</f>
        <v>36996000</v>
      </c>
      <c r="D205" s="356">
        <f>D100</f>
        <v>36996000</v>
      </c>
      <c r="E205" s="270"/>
      <c r="F205" s="270"/>
      <c r="G205" s="270"/>
      <c r="H205" s="270"/>
      <c r="I205" s="270"/>
      <c r="J205" s="270"/>
      <c r="K205" s="270"/>
      <c r="L205" s="270"/>
      <c r="M205" s="270"/>
      <c r="N205" s="270"/>
      <c r="O205" s="270"/>
      <c r="P205" s="270"/>
      <c r="Q205" s="270"/>
      <c r="R205" s="270"/>
    </row>
    <row r="206" spans="1:18" s="225" customFormat="1" ht="12.75" customHeight="1" x14ac:dyDescent="0.2">
      <c r="A206" s="270"/>
      <c r="B206" s="231" t="s">
        <v>311</v>
      </c>
      <c r="C206" s="356">
        <f t="shared" ref="C206:D206" si="49">C101</f>
        <v>0</v>
      </c>
      <c r="D206" s="356">
        <f t="shared" si="49"/>
        <v>0</v>
      </c>
      <c r="E206" s="270"/>
      <c r="F206" s="270"/>
      <c r="G206" s="270"/>
      <c r="H206" s="270"/>
      <c r="I206" s="270"/>
      <c r="J206" s="270"/>
      <c r="K206" s="270"/>
      <c r="L206" s="270"/>
      <c r="M206" s="270"/>
      <c r="N206" s="270"/>
      <c r="O206" s="270"/>
      <c r="P206" s="270"/>
      <c r="Q206" s="270"/>
      <c r="R206" s="270"/>
    </row>
    <row r="207" spans="1:18" s="225" customFormat="1" ht="12.75" customHeight="1" x14ac:dyDescent="0.2">
      <c r="A207" s="270"/>
      <c r="B207" s="231" t="s">
        <v>316</v>
      </c>
      <c r="C207" s="356">
        <f t="shared" ref="C207" si="50">C102</f>
        <v>2313000</v>
      </c>
      <c r="D207" s="356">
        <f>D102-'[8]After meeting with Lenny 300517'!$D$17</f>
        <v>2007200</v>
      </c>
      <c r="E207" s="270"/>
      <c r="F207" s="270"/>
      <c r="G207" s="270"/>
      <c r="H207" s="270"/>
      <c r="I207" s="270"/>
      <c r="J207" s="270"/>
      <c r="K207" s="270"/>
      <c r="L207" s="270"/>
      <c r="M207" s="270"/>
      <c r="N207" s="270"/>
      <c r="O207" s="270"/>
      <c r="P207" s="270"/>
      <c r="Q207" s="270"/>
      <c r="R207" s="270"/>
    </row>
    <row r="208" spans="1:18" s="225" customFormat="1" ht="12.75" customHeight="1" x14ac:dyDescent="0.2">
      <c r="A208" s="270"/>
      <c r="B208" s="383" t="s">
        <v>300</v>
      </c>
      <c r="C208" s="370">
        <f>SUM(C203:C204)</f>
        <v>129016000</v>
      </c>
      <c r="D208" s="371">
        <f>SUM(D203:D204)</f>
        <v>131194200</v>
      </c>
      <c r="E208" s="270"/>
      <c r="F208" s="270"/>
      <c r="G208" s="270"/>
      <c r="H208" s="270"/>
      <c r="I208" s="270"/>
      <c r="J208" s="270"/>
      <c r="K208" s="270"/>
      <c r="L208" s="270"/>
      <c r="M208" s="270"/>
      <c r="N208" s="270"/>
      <c r="O208" s="270"/>
      <c r="P208" s="270"/>
      <c r="Q208" s="270"/>
      <c r="R208" s="270"/>
    </row>
    <row r="209" spans="1:21" s="225" customFormat="1" ht="12.75" customHeight="1" x14ac:dyDescent="0.2">
      <c r="A209" s="270"/>
      <c r="B209" s="272"/>
      <c r="C209" s="358"/>
      <c r="D209" s="358"/>
      <c r="E209" s="270"/>
      <c r="F209" s="270"/>
      <c r="G209" s="270"/>
      <c r="H209" s="270"/>
      <c r="I209" s="270"/>
      <c r="J209" s="270"/>
      <c r="K209" s="270"/>
      <c r="L209" s="270"/>
      <c r="M209" s="270"/>
      <c r="N209" s="270"/>
      <c r="O209" s="270"/>
      <c r="P209" s="270"/>
      <c r="Q209" s="270"/>
      <c r="R209" s="270"/>
    </row>
    <row r="210" spans="1:21" s="225" customFormat="1" ht="12.75" customHeight="1" x14ac:dyDescent="0.2">
      <c r="A210" s="270"/>
      <c r="B210" s="393" t="s">
        <v>269</v>
      </c>
      <c r="C210" s="407"/>
      <c r="D210" s="408"/>
      <c r="E210" s="270"/>
      <c r="F210" s="270"/>
      <c r="G210" s="270"/>
      <c r="H210" s="270"/>
      <c r="I210" s="270"/>
      <c r="J210" s="270"/>
      <c r="K210" s="270"/>
      <c r="L210" s="270"/>
      <c r="M210" s="270"/>
      <c r="N210" s="270"/>
      <c r="O210" s="270"/>
      <c r="P210" s="270"/>
      <c r="Q210" s="270"/>
      <c r="R210" s="270"/>
    </row>
    <row r="211" spans="1:21" s="225" customFormat="1" ht="12.75" customHeight="1" x14ac:dyDescent="0.2">
      <c r="A211" s="270"/>
      <c r="B211" s="231" t="s">
        <v>270</v>
      </c>
      <c r="C211" s="357">
        <f>C106</f>
        <v>851434.89200000011</v>
      </c>
      <c r="D211" s="368">
        <f>'Assets - NHC'!O188</f>
        <v>1506684.7345</v>
      </c>
      <c r="E211" s="270"/>
      <c r="F211" s="270"/>
      <c r="G211" s="270"/>
      <c r="H211" s="270"/>
      <c r="I211" s="270"/>
      <c r="J211" s="270"/>
      <c r="K211" s="270"/>
      <c r="L211" s="270"/>
      <c r="M211" s="270"/>
      <c r="N211" s="270"/>
      <c r="O211" s="270"/>
      <c r="P211" s="270"/>
      <c r="Q211" s="270"/>
      <c r="R211" s="270"/>
    </row>
    <row r="212" spans="1:21" s="225" customFormat="1" ht="12.75" customHeight="1" x14ac:dyDescent="0.2">
      <c r="A212" s="270"/>
      <c r="B212" s="231" t="s">
        <v>271</v>
      </c>
      <c r="C212" s="357">
        <f>C107</f>
        <v>612163.82999999996</v>
      </c>
      <c r="D212" s="368">
        <f>'Assets - NHC'!N188</f>
        <v>1553098.4105</v>
      </c>
      <c r="E212" s="270"/>
      <c r="F212" s="270"/>
      <c r="G212" s="270"/>
      <c r="H212" s="270"/>
      <c r="I212" s="270"/>
      <c r="J212" s="270"/>
      <c r="K212" s="270"/>
      <c r="L212" s="270"/>
      <c r="M212" s="270"/>
      <c r="N212" s="270"/>
      <c r="O212" s="270"/>
      <c r="P212" s="270"/>
      <c r="Q212" s="270"/>
      <c r="R212" s="270"/>
    </row>
    <row r="213" spans="1:21" s="225" customFormat="1" ht="12.75" customHeight="1" x14ac:dyDescent="0.2">
      <c r="A213" s="270"/>
      <c r="B213" s="231" t="s">
        <v>272</v>
      </c>
      <c r="C213" s="357">
        <f>C108</f>
        <v>392877.45800000004</v>
      </c>
      <c r="D213" s="368">
        <f>'Assets - NHC'!Q188</f>
        <v>1106108.7150000001</v>
      </c>
      <c r="E213" s="270"/>
      <c r="F213" s="270"/>
      <c r="G213" s="270"/>
      <c r="H213" s="270"/>
      <c r="I213" s="270"/>
      <c r="J213" s="270"/>
      <c r="K213" s="270"/>
      <c r="L213" s="270"/>
      <c r="M213" s="270"/>
      <c r="N213" s="270"/>
      <c r="O213" s="270"/>
      <c r="P213" s="270"/>
      <c r="Q213" s="270"/>
      <c r="R213" s="270"/>
    </row>
    <row r="214" spans="1:21" s="225" customFormat="1" ht="12.75" customHeight="1" x14ac:dyDescent="0.2">
      <c r="A214" s="270"/>
      <c r="B214" s="231" t="s">
        <v>273</v>
      </c>
      <c r="C214" s="357">
        <f>C109</f>
        <v>0</v>
      </c>
      <c r="D214" s="368">
        <f>'Assets - NHC'!P188</f>
        <v>0</v>
      </c>
      <c r="E214" s="270"/>
      <c r="F214" s="270"/>
      <c r="G214" s="270"/>
      <c r="H214" s="270"/>
      <c r="I214" s="270"/>
      <c r="J214" s="270"/>
      <c r="K214" s="270"/>
      <c r="L214" s="270"/>
      <c r="M214" s="270"/>
      <c r="N214" s="270"/>
      <c r="O214" s="270"/>
      <c r="P214" s="270"/>
      <c r="Q214" s="270"/>
      <c r="R214" s="270"/>
    </row>
    <row r="215" spans="1:21" s="225" customFormat="1" ht="12.75" customHeight="1" x14ac:dyDescent="0.2">
      <c r="A215" s="270"/>
      <c r="B215" s="379" t="s">
        <v>274</v>
      </c>
      <c r="C215" s="370">
        <f>C110</f>
        <v>1856476.1800000002</v>
      </c>
      <c r="D215" s="371">
        <f>SUM(D211:D214)</f>
        <v>4165891.8600000003</v>
      </c>
      <c r="E215" s="270"/>
      <c r="F215" s="270"/>
      <c r="G215" s="270"/>
      <c r="H215" s="270"/>
      <c r="I215" s="270"/>
      <c r="J215" s="270"/>
      <c r="K215" s="270"/>
      <c r="L215" s="270"/>
      <c r="M215" s="270"/>
      <c r="N215" s="270"/>
      <c r="O215" s="270"/>
      <c r="P215" s="270"/>
      <c r="Q215" s="270"/>
      <c r="R215" s="270"/>
    </row>
    <row r="216" spans="1:21" s="225" customFormat="1" x14ac:dyDescent="0.2">
      <c r="A216" s="270"/>
      <c r="B216" s="272"/>
      <c r="C216" s="358"/>
      <c r="D216" s="353"/>
      <c r="E216" s="270"/>
      <c r="F216" s="270"/>
      <c r="G216" s="270"/>
      <c r="H216" s="270"/>
      <c r="I216" s="270"/>
      <c r="J216" s="270"/>
      <c r="K216" s="270"/>
      <c r="L216" s="270"/>
      <c r="M216" s="270"/>
      <c r="N216" s="270"/>
      <c r="O216" s="270"/>
      <c r="P216" s="270"/>
      <c r="Q216" s="270"/>
      <c r="R216" s="270"/>
      <c r="T216" s="250"/>
      <c r="U216" s="251"/>
    </row>
    <row r="217" spans="1:21" s="225" customFormat="1" x14ac:dyDescent="0.2">
      <c r="A217" s="270"/>
      <c r="B217" s="272"/>
      <c r="C217" s="358"/>
      <c r="D217" s="353"/>
      <c r="E217" s="270"/>
      <c r="F217" s="270"/>
      <c r="G217" s="270"/>
      <c r="H217" s="270"/>
      <c r="I217" s="270"/>
      <c r="J217" s="270"/>
      <c r="K217" s="270"/>
      <c r="L217" s="270"/>
      <c r="M217" s="270"/>
      <c r="N217" s="270"/>
      <c r="O217" s="270"/>
      <c r="P217" s="270"/>
      <c r="Q217" s="270"/>
      <c r="R217" s="270"/>
      <c r="T217" s="250"/>
      <c r="U217" s="251"/>
    </row>
    <row r="218" spans="1:21" s="225" customFormat="1" ht="19.5" x14ac:dyDescent="0.25">
      <c r="A218" s="270"/>
      <c r="B218" s="338" t="s">
        <v>264</v>
      </c>
      <c r="C218" s="358"/>
      <c r="D218" s="353"/>
      <c r="E218" s="270"/>
      <c r="F218" s="270"/>
      <c r="G218" s="270"/>
      <c r="H218" s="270"/>
      <c r="I218" s="270"/>
      <c r="J218" s="270"/>
      <c r="K218" s="270"/>
      <c r="L218" s="270"/>
      <c r="M218" s="270"/>
      <c r="N218" s="270"/>
      <c r="O218" s="270"/>
      <c r="P218" s="270"/>
      <c r="Q218" s="270"/>
      <c r="R218" s="270"/>
      <c r="T218" s="250"/>
      <c r="U218" s="251"/>
    </row>
    <row r="219" spans="1:21" s="225" customFormat="1" ht="12.75" customHeight="1" x14ac:dyDescent="0.2">
      <c r="A219" s="270"/>
      <c r="B219" s="270"/>
      <c r="C219" s="270"/>
      <c r="D219" s="270"/>
      <c r="E219" s="270"/>
      <c r="F219" s="270"/>
      <c r="G219" s="270"/>
      <c r="H219" s="270"/>
      <c r="I219" s="270"/>
      <c r="J219" s="270"/>
      <c r="K219" s="270"/>
      <c r="L219" s="270"/>
      <c r="M219" s="270"/>
      <c r="N219" s="270"/>
      <c r="O219" s="270"/>
      <c r="P219" s="270"/>
      <c r="Q219" s="270"/>
      <c r="R219" s="270"/>
    </row>
    <row r="220" spans="1:21" s="225" customFormat="1" ht="12.75" customHeight="1" x14ac:dyDescent="0.2">
      <c r="A220" s="270"/>
      <c r="B220" s="447" t="s">
        <v>159</v>
      </c>
      <c r="C220" s="448"/>
      <c r="D220" s="449"/>
      <c r="E220" s="270"/>
      <c r="F220" s="270"/>
      <c r="G220" s="270"/>
      <c r="H220" s="270"/>
      <c r="I220" s="270"/>
      <c r="J220" s="270"/>
      <c r="K220" s="270"/>
      <c r="L220" s="270"/>
      <c r="M220" s="270"/>
      <c r="N220" s="270"/>
      <c r="O220" s="270"/>
      <c r="P220" s="270"/>
      <c r="Q220" s="270"/>
      <c r="R220" s="270"/>
    </row>
    <row r="221" spans="1:21" s="225" customFormat="1" ht="12.75" customHeight="1" x14ac:dyDescent="0.2">
      <c r="A221" s="270"/>
      <c r="B221" s="366" t="s">
        <v>146</v>
      </c>
      <c r="C221" s="357">
        <f t="shared" ref="C221:D230" si="51">C11-C116</f>
        <v>0</v>
      </c>
      <c r="D221" s="368">
        <f t="shared" si="51"/>
        <v>149600</v>
      </c>
      <c r="E221" s="270"/>
      <c r="F221" s="270"/>
      <c r="G221" s="270"/>
      <c r="H221" s="270"/>
      <c r="I221" s="270"/>
      <c r="J221" s="270"/>
      <c r="K221" s="270"/>
      <c r="L221" s="270"/>
      <c r="M221" s="270"/>
      <c r="N221" s="270"/>
      <c r="O221" s="270"/>
      <c r="P221" s="270"/>
      <c r="Q221" s="270"/>
      <c r="R221" s="270"/>
    </row>
    <row r="222" spans="1:21" s="225" customFormat="1" ht="12.75" customHeight="1" x14ac:dyDescent="0.2">
      <c r="A222" s="270"/>
      <c r="B222" s="366" t="s">
        <v>147</v>
      </c>
      <c r="C222" s="357">
        <f t="shared" si="51"/>
        <v>0</v>
      </c>
      <c r="D222" s="368">
        <f t="shared" si="51"/>
        <v>0</v>
      </c>
      <c r="E222" s="270"/>
      <c r="F222" s="270"/>
      <c r="G222" s="270"/>
      <c r="H222" s="270"/>
      <c r="I222" s="270"/>
      <c r="J222" s="270"/>
      <c r="K222" s="270"/>
      <c r="L222" s="270"/>
      <c r="M222" s="270"/>
      <c r="N222" s="270"/>
      <c r="O222" s="270"/>
      <c r="P222" s="270"/>
      <c r="Q222" s="270"/>
      <c r="R222" s="270"/>
    </row>
    <row r="223" spans="1:21" s="225" customFormat="1" ht="12.75" customHeight="1" x14ac:dyDescent="0.2">
      <c r="A223" s="270"/>
      <c r="B223" s="367" t="s">
        <v>369</v>
      </c>
      <c r="C223" s="357">
        <f t="shared" si="51"/>
        <v>0</v>
      </c>
      <c r="D223" s="368">
        <f t="shared" si="51"/>
        <v>149600</v>
      </c>
      <c r="E223" s="270"/>
      <c r="F223" s="270"/>
      <c r="G223" s="270"/>
      <c r="H223" s="270"/>
      <c r="I223" s="270"/>
      <c r="J223" s="270"/>
      <c r="K223" s="270"/>
      <c r="L223" s="270"/>
      <c r="M223" s="270"/>
      <c r="N223" s="270"/>
      <c r="O223" s="270"/>
      <c r="P223" s="270"/>
      <c r="Q223" s="270"/>
      <c r="R223" s="270"/>
    </row>
    <row r="224" spans="1:21" s="225" customFormat="1" ht="12.75" customHeight="1" x14ac:dyDescent="0.2">
      <c r="A224" s="270"/>
      <c r="B224" s="366" t="s">
        <v>200</v>
      </c>
      <c r="C224" s="357">
        <f t="shared" si="51"/>
        <v>0</v>
      </c>
      <c r="D224" s="368">
        <f t="shared" si="51"/>
        <v>0</v>
      </c>
      <c r="E224" s="270"/>
      <c r="F224" s="270"/>
      <c r="G224" s="270"/>
      <c r="H224" s="270"/>
      <c r="I224" s="270"/>
      <c r="J224" s="270"/>
      <c r="K224" s="270"/>
      <c r="L224" s="270"/>
      <c r="M224" s="270"/>
      <c r="N224" s="270"/>
      <c r="O224" s="270"/>
      <c r="P224" s="270"/>
      <c r="Q224" s="270"/>
      <c r="R224" s="270"/>
    </row>
    <row r="225" spans="1:18" s="225" customFormat="1" ht="12.75" customHeight="1" x14ac:dyDescent="0.2">
      <c r="A225" s="270"/>
      <c r="B225" s="366" t="s">
        <v>201</v>
      </c>
      <c r="C225" s="357">
        <f t="shared" si="51"/>
        <v>0</v>
      </c>
      <c r="D225" s="368">
        <f t="shared" si="51"/>
        <v>0</v>
      </c>
      <c r="E225" s="270"/>
      <c r="F225" s="270"/>
      <c r="G225" s="270"/>
      <c r="H225" s="270"/>
      <c r="I225" s="270"/>
      <c r="J225" s="270"/>
      <c r="K225" s="270"/>
      <c r="L225" s="270"/>
      <c r="M225" s="270"/>
      <c r="N225" s="270"/>
      <c r="O225" s="270"/>
      <c r="P225" s="270"/>
      <c r="Q225" s="270"/>
      <c r="R225" s="270"/>
    </row>
    <row r="226" spans="1:18" s="225" customFormat="1" ht="12.75" customHeight="1" x14ac:dyDescent="0.2">
      <c r="A226" s="270"/>
      <c r="B226" s="366" t="s">
        <v>202</v>
      </c>
      <c r="C226" s="357">
        <f t="shared" si="51"/>
        <v>0</v>
      </c>
      <c r="D226" s="368">
        <f t="shared" si="51"/>
        <v>0</v>
      </c>
      <c r="E226" s="270"/>
      <c r="F226" s="270"/>
      <c r="G226" s="270"/>
      <c r="H226" s="270"/>
      <c r="I226" s="270"/>
      <c r="J226" s="270"/>
      <c r="K226" s="270"/>
      <c r="L226" s="270"/>
      <c r="M226" s="270"/>
      <c r="N226" s="270"/>
      <c r="O226" s="270"/>
      <c r="P226" s="270"/>
      <c r="Q226" s="270"/>
      <c r="R226" s="270"/>
    </row>
    <row r="227" spans="1:18" s="225" customFormat="1" ht="12.75" customHeight="1" x14ac:dyDescent="0.2">
      <c r="A227" s="270"/>
      <c r="B227" s="366" t="s">
        <v>203</v>
      </c>
      <c r="C227" s="357">
        <f t="shared" si="51"/>
        <v>0</v>
      </c>
      <c r="D227" s="368">
        <f t="shared" si="51"/>
        <v>0</v>
      </c>
      <c r="E227" s="270"/>
      <c r="F227" s="270"/>
      <c r="G227" s="270"/>
      <c r="H227" s="270"/>
      <c r="I227" s="270"/>
      <c r="J227" s="270"/>
      <c r="K227" s="270"/>
      <c r="L227" s="270"/>
      <c r="M227" s="270"/>
      <c r="N227" s="270"/>
      <c r="O227" s="270"/>
      <c r="P227" s="270"/>
      <c r="Q227" s="270"/>
      <c r="R227" s="270"/>
    </row>
    <row r="228" spans="1:18" s="225" customFormat="1" ht="12.75" customHeight="1" x14ac:dyDescent="0.2">
      <c r="A228" s="270"/>
      <c r="B228" s="366" t="s">
        <v>204</v>
      </c>
      <c r="C228" s="357">
        <f t="shared" si="51"/>
        <v>0</v>
      </c>
      <c r="D228" s="368">
        <f t="shared" si="51"/>
        <v>0</v>
      </c>
      <c r="E228" s="270"/>
      <c r="F228" s="270"/>
      <c r="G228" s="270"/>
      <c r="H228" s="270"/>
      <c r="I228" s="270"/>
      <c r="J228" s="270"/>
      <c r="K228" s="270"/>
      <c r="L228" s="270"/>
      <c r="M228" s="270"/>
      <c r="N228" s="270"/>
      <c r="O228" s="270"/>
      <c r="P228" s="270"/>
      <c r="Q228" s="270"/>
      <c r="R228" s="270"/>
    </row>
    <row r="229" spans="1:18" s="225" customFormat="1" ht="12.75" customHeight="1" x14ac:dyDescent="0.2">
      <c r="A229" s="270"/>
      <c r="B229" s="366" t="s">
        <v>205</v>
      </c>
      <c r="C229" s="357">
        <f t="shared" si="51"/>
        <v>0</v>
      </c>
      <c r="D229" s="368">
        <f t="shared" si="51"/>
        <v>0</v>
      </c>
      <c r="E229" s="270"/>
      <c r="F229" s="270"/>
      <c r="G229" s="270"/>
      <c r="H229" s="270"/>
      <c r="I229" s="270"/>
      <c r="J229" s="270"/>
      <c r="K229" s="270"/>
      <c r="L229" s="270"/>
      <c r="M229" s="270"/>
      <c r="N229" s="270"/>
      <c r="O229" s="270"/>
      <c r="P229" s="270"/>
      <c r="Q229" s="270"/>
      <c r="R229" s="270"/>
    </row>
    <row r="230" spans="1:18" s="362" customFormat="1" ht="12.75" customHeight="1" x14ac:dyDescent="0.2">
      <c r="A230" s="337"/>
      <c r="B230" s="369" t="s">
        <v>206</v>
      </c>
      <c r="C230" s="370">
        <f t="shared" si="51"/>
        <v>0</v>
      </c>
      <c r="D230" s="371">
        <f t="shared" si="51"/>
        <v>149600</v>
      </c>
      <c r="E230" s="337"/>
      <c r="F230" s="337"/>
      <c r="G230" s="337"/>
      <c r="H230" s="337"/>
      <c r="I230" s="337"/>
      <c r="J230" s="337"/>
      <c r="K230" s="337"/>
      <c r="L230" s="337"/>
      <c r="M230" s="337"/>
      <c r="N230" s="337"/>
      <c r="O230" s="337"/>
      <c r="P230" s="337"/>
      <c r="Q230" s="337"/>
      <c r="R230" s="337"/>
    </row>
    <row r="231" spans="1:18" s="225" customFormat="1" ht="12.75" customHeight="1" x14ac:dyDescent="0.2">
      <c r="A231" s="270"/>
      <c r="B231" s="272"/>
      <c r="C231" s="358"/>
      <c r="D231" s="358"/>
      <c r="E231" s="270"/>
      <c r="F231" s="270"/>
      <c r="G231" s="270"/>
      <c r="H231" s="270"/>
      <c r="I231" s="270"/>
      <c r="J231" s="270"/>
      <c r="K231" s="270"/>
      <c r="L231" s="270"/>
      <c r="M231" s="270"/>
      <c r="N231" s="270"/>
      <c r="O231" s="270"/>
      <c r="P231" s="270"/>
      <c r="Q231" s="270"/>
      <c r="R231" s="270"/>
    </row>
    <row r="232" spans="1:18" s="225" customFormat="1" ht="12.75" customHeight="1" x14ac:dyDescent="0.2">
      <c r="A232" s="270"/>
      <c r="B232" s="447" t="s">
        <v>248</v>
      </c>
      <c r="C232" s="450"/>
      <c r="D232" s="451"/>
      <c r="E232" s="270"/>
      <c r="F232" s="270"/>
      <c r="G232" s="270"/>
      <c r="H232" s="270"/>
      <c r="I232" s="270"/>
      <c r="J232" s="270"/>
      <c r="K232" s="270"/>
      <c r="L232" s="270"/>
      <c r="M232" s="270"/>
      <c r="N232" s="270"/>
      <c r="O232" s="270"/>
      <c r="P232" s="270"/>
      <c r="Q232" s="270"/>
      <c r="R232" s="270"/>
    </row>
    <row r="233" spans="1:18" s="225" customFormat="1" ht="12.75" customHeight="1" x14ac:dyDescent="0.2">
      <c r="A233" s="270"/>
      <c r="B233" s="366" t="s">
        <v>159</v>
      </c>
      <c r="C233" s="357">
        <f t="shared" ref="C233:D250" si="52">C23-C128</f>
        <v>0</v>
      </c>
      <c r="D233" s="368">
        <f t="shared" si="52"/>
        <v>149600</v>
      </c>
      <c r="E233" s="270"/>
      <c r="F233" s="270"/>
      <c r="G233" s="270"/>
      <c r="H233" s="270"/>
      <c r="I233" s="270"/>
      <c r="J233" s="270"/>
      <c r="K233" s="270"/>
      <c r="L233" s="270"/>
      <c r="M233" s="270"/>
      <c r="N233" s="270"/>
      <c r="O233" s="270"/>
      <c r="P233" s="270"/>
      <c r="Q233" s="270"/>
      <c r="R233" s="270"/>
    </row>
    <row r="234" spans="1:18" s="225" customFormat="1" ht="12.75" customHeight="1" x14ac:dyDescent="0.2">
      <c r="A234" s="270"/>
      <c r="B234" s="366" t="s">
        <v>249</v>
      </c>
      <c r="C234" s="357">
        <f t="shared" si="52"/>
        <v>0</v>
      </c>
      <c r="D234" s="368">
        <f t="shared" si="52"/>
        <v>0</v>
      </c>
      <c r="E234" s="270"/>
      <c r="F234" s="270"/>
      <c r="G234" s="270"/>
      <c r="H234" s="270"/>
      <c r="I234" s="270"/>
      <c r="J234" s="270"/>
      <c r="K234" s="270"/>
      <c r="L234" s="270"/>
      <c r="M234" s="270"/>
      <c r="N234" s="270"/>
      <c r="O234" s="270"/>
      <c r="P234" s="270"/>
      <c r="Q234" s="270"/>
      <c r="R234" s="270"/>
    </row>
    <row r="235" spans="1:18" s="225" customFormat="1" ht="12.75" customHeight="1" x14ac:dyDescent="0.2">
      <c r="A235" s="270"/>
      <c r="B235" s="366" t="s">
        <v>74</v>
      </c>
      <c r="C235" s="357">
        <f t="shared" si="52"/>
        <v>0</v>
      </c>
      <c r="D235" s="368">
        <f t="shared" si="52"/>
        <v>0</v>
      </c>
      <c r="E235" s="270"/>
      <c r="F235" s="270"/>
      <c r="G235" s="270"/>
      <c r="H235" s="270"/>
      <c r="I235" s="270"/>
      <c r="J235" s="270"/>
      <c r="K235" s="270"/>
      <c r="L235" s="270"/>
      <c r="M235" s="270"/>
      <c r="N235" s="270"/>
      <c r="O235" s="270"/>
      <c r="P235" s="270"/>
      <c r="Q235" s="270"/>
      <c r="R235" s="270"/>
    </row>
    <row r="236" spans="1:18" s="225" customFormat="1" ht="12.75" customHeight="1" x14ac:dyDescent="0.2">
      <c r="A236" s="270"/>
      <c r="B236" s="366" t="s">
        <v>250</v>
      </c>
      <c r="C236" s="357">
        <f t="shared" si="52"/>
        <v>0</v>
      </c>
      <c r="D236" s="368">
        <f t="shared" si="52"/>
        <v>0</v>
      </c>
      <c r="E236" s="270"/>
      <c r="F236" s="270"/>
      <c r="G236" s="270"/>
      <c r="H236" s="270"/>
      <c r="I236" s="270"/>
      <c r="J236" s="270"/>
      <c r="K236" s="270"/>
      <c r="L236" s="270"/>
      <c r="M236" s="270"/>
      <c r="N236" s="270"/>
      <c r="O236" s="270"/>
      <c r="P236" s="270"/>
      <c r="Q236" s="270"/>
      <c r="R236" s="270"/>
    </row>
    <row r="237" spans="1:18" s="225" customFormat="1" ht="12.75" customHeight="1" x14ac:dyDescent="0.2">
      <c r="A237" s="270"/>
      <c r="B237" s="366" t="s">
        <v>303</v>
      </c>
      <c r="C237" s="357">
        <f t="shared" si="52"/>
        <v>0</v>
      </c>
      <c r="D237" s="368">
        <f t="shared" si="52"/>
        <v>0</v>
      </c>
      <c r="E237" s="270"/>
      <c r="F237" s="270"/>
      <c r="G237" s="270"/>
      <c r="H237" s="270"/>
      <c r="I237" s="270"/>
      <c r="J237" s="270"/>
      <c r="K237" s="270"/>
      <c r="L237" s="270"/>
      <c r="M237" s="270"/>
      <c r="N237" s="270"/>
      <c r="O237" s="270"/>
      <c r="P237" s="270"/>
      <c r="Q237" s="270"/>
      <c r="R237" s="270"/>
    </row>
    <row r="238" spans="1:18" s="225" customFormat="1" ht="12.75" customHeight="1" x14ac:dyDescent="0.2">
      <c r="A238" s="270"/>
      <c r="B238" s="366" t="s">
        <v>304</v>
      </c>
      <c r="C238" s="357">
        <f t="shared" si="52"/>
        <v>0</v>
      </c>
      <c r="D238" s="368">
        <f t="shared" si="52"/>
        <v>0</v>
      </c>
      <c r="E238" s="270"/>
      <c r="F238" s="270"/>
      <c r="G238" s="270"/>
      <c r="H238" s="270"/>
      <c r="I238" s="270"/>
      <c r="J238" s="270"/>
      <c r="K238" s="270"/>
      <c r="L238" s="270"/>
      <c r="M238" s="270"/>
      <c r="N238" s="270"/>
      <c r="O238" s="270"/>
      <c r="P238" s="270"/>
      <c r="Q238" s="270"/>
      <c r="R238" s="270"/>
    </row>
    <row r="239" spans="1:18" s="225" customFormat="1" ht="12.75" customHeight="1" x14ac:dyDescent="0.2">
      <c r="A239" s="270"/>
      <c r="B239" s="366" t="s">
        <v>251</v>
      </c>
      <c r="C239" s="357">
        <f t="shared" si="52"/>
        <v>0</v>
      </c>
      <c r="D239" s="368">
        <f t="shared" si="52"/>
        <v>0</v>
      </c>
      <c r="E239" s="270"/>
      <c r="F239" s="270"/>
      <c r="G239" s="270"/>
      <c r="H239" s="270"/>
      <c r="I239" s="270"/>
      <c r="J239" s="270"/>
      <c r="K239" s="270"/>
      <c r="L239" s="270"/>
      <c r="M239" s="270"/>
      <c r="N239" s="270"/>
      <c r="O239" s="270"/>
      <c r="P239" s="270"/>
      <c r="Q239" s="270"/>
      <c r="R239" s="270"/>
    </row>
    <row r="240" spans="1:18" s="225" customFormat="1" ht="12.75" customHeight="1" x14ac:dyDescent="0.2">
      <c r="A240" s="270"/>
      <c r="B240" s="366" t="s">
        <v>303</v>
      </c>
      <c r="C240" s="357">
        <f t="shared" si="52"/>
        <v>0</v>
      </c>
      <c r="D240" s="368">
        <f t="shared" si="52"/>
        <v>0</v>
      </c>
      <c r="E240" s="270"/>
      <c r="F240" s="270"/>
      <c r="G240" s="270"/>
      <c r="H240" s="270"/>
      <c r="I240" s="270"/>
      <c r="J240" s="270"/>
      <c r="K240" s="270"/>
      <c r="L240" s="270"/>
      <c r="M240" s="270"/>
      <c r="N240" s="270"/>
      <c r="O240" s="270"/>
      <c r="P240" s="270"/>
      <c r="Q240" s="270"/>
      <c r="R240" s="270"/>
    </row>
    <row r="241" spans="1:18" s="225" customFormat="1" ht="12.75" customHeight="1" x14ac:dyDescent="0.2">
      <c r="A241" s="270"/>
      <c r="B241" s="366" t="s">
        <v>304</v>
      </c>
      <c r="C241" s="357">
        <f t="shared" si="52"/>
        <v>0</v>
      </c>
      <c r="D241" s="368">
        <f t="shared" si="52"/>
        <v>0</v>
      </c>
      <c r="E241" s="270"/>
      <c r="F241" s="270"/>
      <c r="G241" s="270"/>
      <c r="H241" s="270"/>
      <c r="I241" s="270"/>
      <c r="J241" s="270"/>
      <c r="K241" s="270"/>
      <c r="L241" s="270"/>
      <c r="M241" s="270"/>
      <c r="N241" s="270"/>
      <c r="O241" s="270"/>
      <c r="P241" s="270"/>
      <c r="Q241" s="270"/>
      <c r="R241" s="270"/>
    </row>
    <row r="242" spans="1:18" s="225" customFormat="1" ht="12.75" customHeight="1" x14ac:dyDescent="0.2">
      <c r="A242" s="270"/>
      <c r="B242" s="366" t="s">
        <v>305</v>
      </c>
      <c r="C242" s="357">
        <f t="shared" si="52"/>
        <v>0</v>
      </c>
      <c r="D242" s="368">
        <f t="shared" si="52"/>
        <v>5000</v>
      </c>
      <c r="E242" s="270"/>
      <c r="F242" s="270"/>
      <c r="G242" s="270"/>
      <c r="H242" s="270"/>
      <c r="I242" s="270"/>
      <c r="J242" s="270"/>
      <c r="K242" s="270"/>
      <c r="L242" s="270"/>
      <c r="M242" s="270"/>
      <c r="N242" s="270"/>
      <c r="O242" s="270"/>
      <c r="P242" s="270"/>
      <c r="Q242" s="270"/>
      <c r="R242" s="270"/>
    </row>
    <row r="243" spans="1:18" s="225" customFormat="1" ht="12.75" customHeight="1" x14ac:dyDescent="0.2">
      <c r="A243" s="270"/>
      <c r="B243" s="366" t="s">
        <v>306</v>
      </c>
      <c r="C243" s="357">
        <f t="shared" si="52"/>
        <v>0</v>
      </c>
      <c r="D243" s="368">
        <f t="shared" si="52"/>
        <v>0</v>
      </c>
      <c r="E243" s="270"/>
      <c r="F243" s="270"/>
      <c r="G243" s="270"/>
      <c r="H243" s="270"/>
      <c r="I243" s="270"/>
      <c r="J243" s="270"/>
      <c r="K243" s="270"/>
      <c r="L243" s="270"/>
      <c r="M243" s="270"/>
      <c r="N243" s="270"/>
      <c r="O243" s="270"/>
      <c r="P243" s="270"/>
      <c r="Q243" s="270"/>
      <c r="R243" s="270"/>
    </row>
    <row r="244" spans="1:18" s="225" customFormat="1" ht="12.75" customHeight="1" x14ac:dyDescent="0.2">
      <c r="A244" s="270"/>
      <c r="B244" s="366" t="s">
        <v>307</v>
      </c>
      <c r="C244" s="357">
        <f t="shared" si="52"/>
        <v>0</v>
      </c>
      <c r="D244" s="368">
        <f t="shared" si="52"/>
        <v>5000</v>
      </c>
      <c r="E244" s="270"/>
      <c r="F244" s="270"/>
      <c r="G244" s="270"/>
      <c r="H244" s="270"/>
      <c r="I244" s="270"/>
      <c r="J244" s="270"/>
      <c r="K244" s="270"/>
      <c r="L244" s="270"/>
      <c r="M244" s="270"/>
      <c r="N244" s="270"/>
      <c r="O244" s="270"/>
      <c r="P244" s="270"/>
      <c r="Q244" s="270"/>
      <c r="R244" s="270"/>
    </row>
    <row r="245" spans="1:18" s="225" customFormat="1" ht="12.75" customHeight="1" x14ac:dyDescent="0.2">
      <c r="A245" s="270"/>
      <c r="B245" s="366" t="s">
        <v>252</v>
      </c>
      <c r="C245" s="357">
        <f t="shared" si="52"/>
        <v>0</v>
      </c>
      <c r="D245" s="368">
        <f t="shared" si="52"/>
        <v>0</v>
      </c>
      <c r="E245" s="270"/>
      <c r="F245" s="270"/>
      <c r="G245" s="270"/>
      <c r="H245" s="270"/>
      <c r="I245" s="270"/>
      <c r="J245" s="270"/>
      <c r="K245" s="270"/>
      <c r="L245" s="270"/>
      <c r="M245" s="270"/>
      <c r="N245" s="270"/>
      <c r="O245" s="270"/>
      <c r="P245" s="270"/>
      <c r="Q245" s="270"/>
      <c r="R245" s="270"/>
    </row>
    <row r="246" spans="1:18" s="225" customFormat="1" ht="12.75" customHeight="1" x14ac:dyDescent="0.2">
      <c r="A246" s="270"/>
      <c r="B246" s="366" t="s">
        <v>253</v>
      </c>
      <c r="C246" s="357">
        <f t="shared" si="52"/>
        <v>0</v>
      </c>
      <c r="D246" s="368">
        <f t="shared" si="52"/>
        <v>0</v>
      </c>
      <c r="E246" s="270"/>
      <c r="F246" s="270"/>
      <c r="G246" s="270"/>
      <c r="H246" s="270"/>
      <c r="I246" s="270"/>
      <c r="J246" s="270"/>
      <c r="K246" s="270"/>
      <c r="L246" s="270"/>
      <c r="M246" s="270"/>
      <c r="N246" s="270"/>
      <c r="O246" s="270"/>
      <c r="P246" s="270"/>
      <c r="Q246" s="270"/>
      <c r="R246" s="270"/>
    </row>
    <row r="247" spans="1:18" s="225" customFormat="1" ht="12.75" customHeight="1" x14ac:dyDescent="0.2">
      <c r="A247" s="270"/>
      <c r="B247" s="366" t="s">
        <v>254</v>
      </c>
      <c r="C247" s="357">
        <f t="shared" si="52"/>
        <v>0</v>
      </c>
      <c r="D247" s="368">
        <f t="shared" si="52"/>
        <v>0</v>
      </c>
      <c r="E247" s="270"/>
      <c r="F247" s="270"/>
      <c r="G247" s="270"/>
      <c r="H247" s="270"/>
      <c r="I247" s="270"/>
      <c r="J247" s="270"/>
      <c r="K247" s="270"/>
      <c r="L247" s="270"/>
      <c r="M247" s="270"/>
      <c r="N247" s="270"/>
      <c r="O247" s="270"/>
      <c r="P247" s="270"/>
      <c r="Q247" s="270"/>
      <c r="R247" s="270"/>
    </row>
    <row r="248" spans="1:18" s="225" customFormat="1" ht="12.75" customHeight="1" x14ac:dyDescent="0.2">
      <c r="A248" s="270"/>
      <c r="B248" s="366" t="s">
        <v>255</v>
      </c>
      <c r="C248" s="357">
        <f t="shared" si="52"/>
        <v>0</v>
      </c>
      <c r="D248" s="368">
        <f t="shared" si="52"/>
        <v>0</v>
      </c>
      <c r="E248" s="270"/>
      <c r="F248" s="270"/>
      <c r="G248" s="270"/>
      <c r="H248" s="270"/>
      <c r="I248" s="270"/>
      <c r="J248" s="270"/>
      <c r="K248" s="270"/>
      <c r="L248" s="270"/>
      <c r="M248" s="270"/>
      <c r="N248" s="270"/>
      <c r="O248" s="270"/>
      <c r="P248" s="270"/>
      <c r="Q248" s="270"/>
      <c r="R248" s="270"/>
    </row>
    <row r="249" spans="1:18" s="225" customFormat="1" ht="12.75" customHeight="1" x14ac:dyDescent="0.2">
      <c r="A249" s="270"/>
      <c r="B249" s="366" t="s">
        <v>256</v>
      </c>
      <c r="C249" s="357">
        <f t="shared" si="52"/>
        <v>0</v>
      </c>
      <c r="D249" s="368">
        <f t="shared" si="52"/>
        <v>0</v>
      </c>
      <c r="E249" s="270"/>
      <c r="F249" s="270"/>
      <c r="G249" s="270"/>
      <c r="H249" s="270"/>
      <c r="I249" s="270"/>
      <c r="J249" s="270"/>
      <c r="K249" s="270"/>
      <c r="L249" s="270"/>
      <c r="M249" s="270"/>
      <c r="N249" s="270"/>
      <c r="O249" s="270"/>
      <c r="P249" s="270"/>
      <c r="Q249" s="270"/>
      <c r="R249" s="270"/>
    </row>
    <row r="250" spans="1:18" s="225" customFormat="1" ht="12.75" customHeight="1" x14ac:dyDescent="0.2">
      <c r="A250" s="270"/>
      <c r="B250" s="377" t="s">
        <v>257</v>
      </c>
      <c r="C250" s="355">
        <f t="shared" si="52"/>
        <v>0</v>
      </c>
      <c r="D250" s="378">
        <f t="shared" si="52"/>
        <v>154600</v>
      </c>
      <c r="E250" s="270"/>
      <c r="F250" s="270"/>
      <c r="G250" s="270"/>
      <c r="H250" s="270"/>
      <c r="I250" s="270"/>
      <c r="J250" s="270"/>
      <c r="K250" s="270"/>
      <c r="L250" s="270"/>
      <c r="M250" s="270"/>
      <c r="N250" s="270"/>
      <c r="O250" s="270"/>
      <c r="P250" s="270"/>
      <c r="Q250" s="270"/>
      <c r="R250" s="270"/>
    </row>
    <row r="251" spans="1:18" s="225" customFormat="1" ht="12.75" customHeight="1" x14ac:dyDescent="0.2">
      <c r="A251" s="270"/>
      <c r="B251" s="282"/>
      <c r="C251" s="430"/>
      <c r="D251" s="431"/>
      <c r="E251" s="270"/>
      <c r="F251" s="270"/>
      <c r="G251" s="270"/>
      <c r="H251" s="270"/>
      <c r="I251" s="270"/>
      <c r="J251" s="270"/>
      <c r="K251" s="270"/>
      <c r="L251" s="270"/>
      <c r="M251" s="270"/>
      <c r="N251" s="270"/>
      <c r="O251" s="270"/>
      <c r="P251" s="270"/>
      <c r="Q251" s="270"/>
      <c r="R251" s="270"/>
    </row>
    <row r="252" spans="1:18" s="225" customFormat="1" ht="12.75" customHeight="1" x14ac:dyDescent="0.2">
      <c r="A252" s="270"/>
      <c r="B252" s="336" t="s">
        <v>258</v>
      </c>
      <c r="C252" s="359"/>
      <c r="D252" s="360"/>
      <c r="E252" s="270"/>
      <c r="F252" s="270"/>
      <c r="G252" s="270"/>
      <c r="H252" s="270"/>
      <c r="I252" s="270"/>
      <c r="J252" s="270"/>
      <c r="K252" s="270"/>
      <c r="L252" s="270"/>
      <c r="M252" s="270"/>
      <c r="N252" s="270"/>
      <c r="O252" s="270"/>
      <c r="P252" s="270"/>
      <c r="Q252" s="270"/>
      <c r="R252" s="270"/>
    </row>
    <row r="253" spans="1:18" s="225" customFormat="1" ht="12.75" customHeight="1" x14ac:dyDescent="0.2">
      <c r="A253" s="270"/>
      <c r="B253" s="231" t="s">
        <v>79</v>
      </c>
      <c r="C253" s="357">
        <f t="shared" ref="C253:D264" si="53">C43-C148</f>
        <v>0</v>
      </c>
      <c r="D253" s="368">
        <f t="shared" si="53"/>
        <v>3500</v>
      </c>
      <c r="E253" s="270"/>
      <c r="F253" s="270"/>
      <c r="G253" s="270"/>
      <c r="H253" s="270"/>
      <c r="I253" s="270"/>
      <c r="J253" s="270"/>
      <c r="K253" s="270"/>
      <c r="L253" s="270"/>
      <c r="M253" s="270"/>
      <c r="N253" s="270"/>
      <c r="O253" s="270"/>
      <c r="P253" s="270"/>
      <c r="Q253" s="270"/>
      <c r="R253" s="270"/>
    </row>
    <row r="254" spans="1:18" s="225" customFormat="1" ht="12.75" customHeight="1" x14ac:dyDescent="0.2">
      <c r="A254" s="270"/>
      <c r="B254" s="231" t="s">
        <v>259</v>
      </c>
      <c r="C254" s="357">
        <f t="shared" si="53"/>
        <v>0</v>
      </c>
      <c r="D254" s="368">
        <f t="shared" si="53"/>
        <v>33900</v>
      </c>
      <c r="E254" s="270"/>
      <c r="F254" s="270"/>
      <c r="G254" s="270"/>
      <c r="H254" s="270"/>
      <c r="I254" s="270"/>
      <c r="J254" s="270"/>
      <c r="K254" s="270"/>
      <c r="L254" s="270"/>
      <c r="M254" s="270"/>
      <c r="N254" s="270"/>
      <c r="O254" s="270"/>
      <c r="P254" s="270"/>
      <c r="Q254" s="270"/>
      <c r="R254" s="270"/>
    </row>
    <row r="255" spans="1:18" s="225" customFormat="1" ht="12.75" customHeight="1" x14ac:dyDescent="0.2">
      <c r="A255" s="270"/>
      <c r="B255" s="231" t="s">
        <v>260</v>
      </c>
      <c r="C255" s="357">
        <f t="shared" si="53"/>
        <v>0</v>
      </c>
      <c r="D255" s="368">
        <f t="shared" si="53"/>
        <v>0</v>
      </c>
      <c r="E255" s="270"/>
      <c r="F255" s="270"/>
      <c r="G255" s="270"/>
      <c r="H255" s="270"/>
      <c r="I255" s="270"/>
      <c r="J255" s="270"/>
      <c r="K255" s="270"/>
      <c r="L255" s="270"/>
      <c r="M255" s="270"/>
      <c r="N255" s="270"/>
      <c r="O255" s="270"/>
      <c r="P255" s="270"/>
      <c r="Q255" s="270"/>
      <c r="R255" s="270"/>
    </row>
    <row r="256" spans="1:18" s="225" customFormat="1" ht="12.75" customHeight="1" x14ac:dyDescent="0.2">
      <c r="A256" s="270"/>
      <c r="B256" s="231" t="s">
        <v>81</v>
      </c>
      <c r="C256" s="357">
        <f t="shared" si="53"/>
        <v>0</v>
      </c>
      <c r="D256" s="368">
        <f t="shared" si="53"/>
        <v>0</v>
      </c>
      <c r="E256" s="270"/>
      <c r="F256" s="270"/>
      <c r="G256" s="270"/>
      <c r="H256" s="270"/>
      <c r="I256" s="270"/>
      <c r="J256" s="270"/>
      <c r="K256" s="270"/>
      <c r="L256" s="270"/>
      <c r="M256" s="270"/>
      <c r="N256" s="270"/>
      <c r="O256" s="270"/>
      <c r="P256" s="270"/>
      <c r="Q256" s="270"/>
      <c r="R256" s="270"/>
    </row>
    <row r="257" spans="1:18" s="225" customFormat="1" ht="12.75" customHeight="1" x14ac:dyDescent="0.2">
      <c r="A257" s="270"/>
      <c r="B257" s="231" t="s">
        <v>308</v>
      </c>
      <c r="C257" s="357">
        <f t="shared" si="53"/>
        <v>0</v>
      </c>
      <c r="D257" s="368">
        <f t="shared" si="53"/>
        <v>0</v>
      </c>
      <c r="E257" s="270"/>
      <c r="F257" s="270"/>
      <c r="G257" s="270"/>
      <c r="H257" s="270"/>
      <c r="I257" s="270"/>
      <c r="J257" s="270"/>
      <c r="K257" s="270"/>
      <c r="L257" s="270"/>
      <c r="M257" s="270"/>
      <c r="N257" s="270"/>
      <c r="O257" s="270"/>
      <c r="P257" s="270"/>
      <c r="Q257" s="270"/>
      <c r="R257" s="270"/>
    </row>
    <row r="258" spans="1:18" s="225" customFormat="1" ht="12.75" customHeight="1" x14ac:dyDescent="0.2">
      <c r="A258" s="270"/>
      <c r="B258" s="231" t="s">
        <v>309</v>
      </c>
      <c r="C258" s="357">
        <f t="shared" si="53"/>
        <v>0</v>
      </c>
      <c r="D258" s="368">
        <f t="shared" si="53"/>
        <v>0</v>
      </c>
      <c r="E258" s="270"/>
      <c r="F258" s="270"/>
      <c r="G258" s="270"/>
      <c r="H258" s="270"/>
      <c r="I258" s="270"/>
      <c r="J258" s="270"/>
      <c r="K258" s="270"/>
      <c r="L258" s="270"/>
      <c r="M258" s="270"/>
      <c r="N258" s="270"/>
      <c r="O258" s="270"/>
      <c r="P258" s="270"/>
      <c r="Q258" s="270"/>
      <c r="R258" s="270"/>
    </row>
    <row r="259" spans="1:18" s="225" customFormat="1" ht="12.75" customHeight="1" x14ac:dyDescent="0.2">
      <c r="A259" s="270"/>
      <c r="B259" s="231" t="s">
        <v>261</v>
      </c>
      <c r="C259" s="357">
        <f t="shared" si="53"/>
        <v>0</v>
      </c>
      <c r="D259" s="368">
        <f t="shared" si="53"/>
        <v>0</v>
      </c>
      <c r="E259" s="270"/>
      <c r="F259" s="270"/>
      <c r="G259" s="270"/>
      <c r="H259" s="270"/>
      <c r="I259" s="270"/>
      <c r="J259" s="270"/>
      <c r="K259" s="270"/>
      <c r="L259" s="270"/>
      <c r="M259" s="270"/>
      <c r="N259" s="270"/>
      <c r="O259" s="270"/>
      <c r="P259" s="270"/>
      <c r="Q259" s="270"/>
      <c r="R259" s="270"/>
    </row>
    <row r="260" spans="1:18" s="225" customFormat="1" ht="12.75" customHeight="1" x14ac:dyDescent="0.2">
      <c r="A260" s="270"/>
      <c r="B260" s="366" t="s">
        <v>253</v>
      </c>
      <c r="C260" s="357">
        <f t="shared" si="53"/>
        <v>0</v>
      </c>
      <c r="D260" s="368">
        <f t="shared" si="53"/>
        <v>0</v>
      </c>
      <c r="E260" s="270"/>
      <c r="F260" s="270"/>
      <c r="G260" s="270"/>
      <c r="H260" s="270"/>
      <c r="I260" s="270"/>
      <c r="J260" s="270"/>
      <c r="K260" s="270"/>
      <c r="L260" s="270"/>
      <c r="M260" s="270"/>
      <c r="N260" s="270"/>
      <c r="O260" s="270"/>
      <c r="P260" s="270"/>
      <c r="Q260" s="270"/>
      <c r="R260" s="270"/>
    </row>
    <row r="261" spans="1:18" s="225" customFormat="1" ht="12.75" customHeight="1" x14ac:dyDescent="0.2">
      <c r="A261" s="270"/>
      <c r="B261" s="366" t="s">
        <v>254</v>
      </c>
      <c r="C261" s="357">
        <f t="shared" si="53"/>
        <v>0</v>
      </c>
      <c r="D261" s="368">
        <f t="shared" si="53"/>
        <v>0</v>
      </c>
      <c r="E261" s="270"/>
      <c r="F261" s="270"/>
      <c r="G261" s="270"/>
      <c r="H261" s="270"/>
      <c r="I261" s="270"/>
      <c r="J261" s="270"/>
      <c r="K261" s="270"/>
      <c r="L261" s="270"/>
      <c r="M261" s="270"/>
      <c r="N261" s="270"/>
      <c r="O261" s="270"/>
      <c r="P261" s="270"/>
      <c r="Q261" s="270"/>
      <c r="R261" s="270"/>
    </row>
    <row r="262" spans="1:18" s="225" customFormat="1" ht="12.75" customHeight="1" x14ac:dyDescent="0.2">
      <c r="A262" s="270"/>
      <c r="B262" s="366" t="s">
        <v>255</v>
      </c>
      <c r="C262" s="357">
        <f t="shared" si="53"/>
        <v>0</v>
      </c>
      <c r="D262" s="368">
        <f t="shared" si="53"/>
        <v>0</v>
      </c>
      <c r="E262" s="270"/>
      <c r="F262" s="270"/>
      <c r="G262" s="270"/>
      <c r="H262" s="270"/>
      <c r="I262" s="270"/>
      <c r="J262" s="270"/>
      <c r="K262" s="270"/>
      <c r="L262" s="270"/>
      <c r="M262" s="270"/>
      <c r="N262" s="270"/>
      <c r="O262" s="270"/>
      <c r="P262" s="270"/>
      <c r="Q262" s="270"/>
      <c r="R262" s="270"/>
    </row>
    <row r="263" spans="1:18" s="225" customFormat="1" ht="12.75" customHeight="1" x14ac:dyDescent="0.2">
      <c r="A263" s="270"/>
      <c r="B263" s="231" t="s">
        <v>82</v>
      </c>
      <c r="C263" s="357">
        <f t="shared" si="53"/>
        <v>0</v>
      </c>
      <c r="D263" s="368">
        <f t="shared" si="53"/>
        <v>0</v>
      </c>
      <c r="E263" s="270"/>
      <c r="F263" s="270"/>
      <c r="G263" s="270"/>
      <c r="H263" s="270"/>
      <c r="I263" s="270"/>
      <c r="J263" s="270"/>
      <c r="K263" s="270"/>
      <c r="L263" s="270"/>
      <c r="M263" s="270"/>
      <c r="N263" s="270"/>
      <c r="O263" s="270"/>
      <c r="P263" s="270"/>
      <c r="Q263" s="270"/>
      <c r="R263" s="270"/>
    </row>
    <row r="264" spans="1:18" s="225" customFormat="1" ht="12.75" customHeight="1" x14ac:dyDescent="0.2">
      <c r="A264" s="270"/>
      <c r="B264" s="379" t="s">
        <v>262</v>
      </c>
      <c r="C264" s="370">
        <f t="shared" si="53"/>
        <v>0</v>
      </c>
      <c r="D264" s="371">
        <f t="shared" si="53"/>
        <v>37400</v>
      </c>
      <c r="E264" s="270"/>
      <c r="F264" s="270"/>
      <c r="G264" s="270"/>
      <c r="H264" s="270"/>
      <c r="I264" s="270"/>
      <c r="J264" s="270"/>
      <c r="K264" s="270"/>
      <c r="L264" s="270"/>
      <c r="M264" s="270"/>
      <c r="N264" s="270"/>
      <c r="O264" s="270"/>
      <c r="P264" s="270"/>
      <c r="Q264" s="270"/>
      <c r="R264" s="270"/>
    </row>
    <row r="265" spans="1:18" s="225" customFormat="1" ht="12.75" customHeight="1" x14ac:dyDescent="0.2">
      <c r="A265" s="270"/>
      <c r="B265" s="452"/>
      <c r="C265" s="453"/>
      <c r="D265" s="454"/>
      <c r="E265" s="270"/>
      <c r="F265" s="270"/>
      <c r="G265" s="270"/>
      <c r="H265" s="270"/>
      <c r="I265" s="270"/>
      <c r="J265" s="270"/>
      <c r="K265" s="270"/>
      <c r="L265" s="270"/>
      <c r="M265" s="270"/>
      <c r="N265" s="270"/>
      <c r="O265" s="270"/>
      <c r="P265" s="270"/>
      <c r="Q265" s="270"/>
      <c r="R265" s="270"/>
    </row>
    <row r="266" spans="1:18" s="225" customFormat="1" ht="12.75" customHeight="1" x14ac:dyDescent="0.2">
      <c r="A266" s="270"/>
      <c r="B266" s="393" t="s">
        <v>158</v>
      </c>
      <c r="C266" s="407"/>
      <c r="D266" s="408"/>
      <c r="E266" s="270"/>
      <c r="F266" s="270"/>
      <c r="G266" s="270"/>
      <c r="H266" s="270"/>
      <c r="I266" s="270"/>
      <c r="J266" s="270"/>
      <c r="K266" s="270"/>
      <c r="L266" s="270"/>
      <c r="M266" s="270"/>
      <c r="N266" s="270"/>
      <c r="O266" s="270"/>
      <c r="P266" s="270"/>
      <c r="Q266" s="270"/>
      <c r="R266" s="270"/>
    </row>
    <row r="267" spans="1:18" s="225" customFormat="1" ht="12.75" customHeight="1" x14ac:dyDescent="0.2">
      <c r="A267" s="270"/>
      <c r="B267" s="282" t="s">
        <v>276</v>
      </c>
      <c r="C267" s="430"/>
      <c r="D267" s="431"/>
      <c r="E267" s="270"/>
      <c r="F267" s="270"/>
      <c r="G267" s="270"/>
      <c r="H267" s="270"/>
      <c r="I267" s="270"/>
      <c r="J267" s="270"/>
      <c r="K267" s="270"/>
      <c r="L267" s="270"/>
      <c r="M267" s="270"/>
      <c r="N267" s="270"/>
      <c r="O267" s="270"/>
      <c r="P267" s="270"/>
      <c r="Q267" s="270"/>
      <c r="R267" s="270"/>
    </row>
    <row r="268" spans="1:18" s="225" customFormat="1" ht="12.75" customHeight="1" x14ac:dyDescent="0.2">
      <c r="A268" s="270"/>
      <c r="B268" s="231" t="s">
        <v>277</v>
      </c>
      <c r="C268" s="357">
        <f t="shared" ref="C268:D278" si="54">C58-C163</f>
        <v>0</v>
      </c>
      <c r="D268" s="368">
        <f t="shared" si="54"/>
        <v>-52200</v>
      </c>
      <c r="E268" s="270"/>
      <c r="F268" s="270"/>
      <c r="G268" s="270"/>
      <c r="H268" s="270"/>
      <c r="I268" s="270"/>
      <c r="J268" s="270"/>
      <c r="K268" s="270"/>
      <c r="L268" s="270"/>
      <c r="M268" s="270"/>
      <c r="N268" s="270"/>
      <c r="O268" s="270"/>
      <c r="P268" s="270"/>
      <c r="Q268" s="270"/>
      <c r="R268" s="270"/>
    </row>
    <row r="269" spans="1:18" s="225" customFormat="1" ht="12.75" customHeight="1" x14ac:dyDescent="0.2">
      <c r="A269" s="270"/>
      <c r="B269" s="231" t="s">
        <v>310</v>
      </c>
      <c r="C269" s="357">
        <f t="shared" si="54"/>
        <v>0</v>
      </c>
      <c r="D269" s="368">
        <f t="shared" si="54"/>
        <v>0</v>
      </c>
      <c r="E269" s="270"/>
      <c r="F269" s="270"/>
      <c r="G269" s="270"/>
      <c r="H269" s="270"/>
      <c r="I269" s="270"/>
      <c r="J269" s="270"/>
      <c r="K269" s="270"/>
      <c r="L269" s="270"/>
      <c r="M269" s="270"/>
      <c r="N269" s="270"/>
      <c r="O269" s="270"/>
      <c r="P269" s="270"/>
      <c r="Q269" s="270"/>
      <c r="R269" s="270"/>
    </row>
    <row r="270" spans="1:18" s="225" customFormat="1" ht="12.75" customHeight="1" x14ac:dyDescent="0.2">
      <c r="A270" s="270"/>
      <c r="B270" s="231" t="s">
        <v>311</v>
      </c>
      <c r="C270" s="357">
        <f t="shared" si="54"/>
        <v>0</v>
      </c>
      <c r="D270" s="368">
        <f t="shared" si="54"/>
        <v>0</v>
      </c>
      <c r="E270" s="270"/>
      <c r="F270" s="270"/>
      <c r="G270" s="270"/>
      <c r="H270" s="270"/>
      <c r="I270" s="270"/>
      <c r="J270" s="270"/>
      <c r="K270" s="270"/>
      <c r="L270" s="270"/>
      <c r="M270" s="270"/>
      <c r="N270" s="270"/>
      <c r="O270" s="270"/>
      <c r="P270" s="270"/>
      <c r="Q270" s="270"/>
      <c r="R270" s="270"/>
    </row>
    <row r="271" spans="1:18" s="225" customFormat="1" ht="12.75" customHeight="1" x14ac:dyDescent="0.2">
      <c r="A271" s="270"/>
      <c r="B271" s="231" t="s">
        <v>312</v>
      </c>
      <c r="C271" s="357">
        <f t="shared" si="54"/>
        <v>0</v>
      </c>
      <c r="D271" s="368">
        <f t="shared" si="54"/>
        <v>0</v>
      </c>
      <c r="E271" s="270"/>
      <c r="F271" s="270"/>
      <c r="G271" s="270"/>
      <c r="H271" s="270"/>
      <c r="I271" s="270"/>
      <c r="J271" s="270"/>
      <c r="K271" s="270"/>
      <c r="L271" s="270"/>
      <c r="M271" s="270"/>
      <c r="N271" s="270"/>
      <c r="O271" s="270"/>
      <c r="P271" s="270"/>
      <c r="Q271" s="270"/>
      <c r="R271" s="270"/>
    </row>
    <row r="272" spans="1:18" s="225" customFormat="1" ht="12.75" customHeight="1" x14ac:dyDescent="0.2">
      <c r="A272" s="270"/>
      <c r="B272" s="231" t="s">
        <v>313</v>
      </c>
      <c r="C272" s="357">
        <f t="shared" si="54"/>
        <v>0</v>
      </c>
      <c r="D272" s="368">
        <f t="shared" si="54"/>
        <v>0</v>
      </c>
      <c r="E272" s="270"/>
      <c r="F272" s="270"/>
      <c r="G272" s="270"/>
      <c r="H272" s="270"/>
      <c r="I272" s="270"/>
      <c r="J272" s="270"/>
      <c r="K272" s="270"/>
      <c r="L272" s="270"/>
      <c r="M272" s="270"/>
      <c r="N272" s="270"/>
      <c r="O272" s="270"/>
      <c r="P272" s="270"/>
      <c r="Q272" s="270"/>
      <c r="R272" s="270"/>
    </row>
    <row r="273" spans="1:18" s="225" customFormat="1" ht="12.75" customHeight="1" x14ac:dyDescent="0.2">
      <c r="A273" s="270"/>
      <c r="B273" s="231" t="s">
        <v>314</v>
      </c>
      <c r="C273" s="357">
        <f t="shared" si="54"/>
        <v>0</v>
      </c>
      <c r="D273" s="368">
        <f t="shared" si="54"/>
        <v>-52200</v>
      </c>
      <c r="E273" s="270"/>
      <c r="F273" s="270"/>
      <c r="G273" s="270"/>
      <c r="H273" s="270"/>
      <c r="I273" s="270"/>
      <c r="J273" s="270"/>
      <c r="K273" s="270"/>
      <c r="L273" s="270"/>
      <c r="M273" s="270"/>
      <c r="N273" s="270"/>
      <c r="O273" s="270"/>
      <c r="P273" s="270"/>
      <c r="Q273" s="270"/>
      <c r="R273" s="270"/>
    </row>
    <row r="274" spans="1:18" s="225" customFormat="1" ht="12.75" customHeight="1" x14ac:dyDescent="0.2">
      <c r="A274" s="270"/>
      <c r="B274" s="231" t="s">
        <v>301</v>
      </c>
      <c r="C274" s="357">
        <f t="shared" si="54"/>
        <v>0</v>
      </c>
      <c r="D274" s="368">
        <f t="shared" si="54"/>
        <v>0</v>
      </c>
      <c r="E274" s="270"/>
      <c r="F274" s="270"/>
      <c r="G274" s="270"/>
      <c r="H274" s="270"/>
      <c r="I274" s="270"/>
      <c r="J274" s="270"/>
      <c r="K274" s="270"/>
      <c r="L274" s="270"/>
      <c r="M274" s="270"/>
      <c r="N274" s="270"/>
      <c r="O274" s="270"/>
      <c r="P274" s="270"/>
      <c r="Q274" s="270"/>
      <c r="R274" s="270"/>
    </row>
    <row r="275" spans="1:18" s="225" customFormat="1" ht="12.75" customHeight="1" x14ac:dyDescent="0.2">
      <c r="A275" s="270"/>
      <c r="B275" s="231" t="s">
        <v>278</v>
      </c>
      <c r="C275" s="357">
        <f t="shared" si="54"/>
        <v>0</v>
      </c>
      <c r="D275" s="368">
        <f t="shared" si="54"/>
        <v>0</v>
      </c>
      <c r="E275" s="270"/>
      <c r="F275" s="270"/>
      <c r="G275" s="270"/>
      <c r="H275" s="270"/>
      <c r="I275" s="270"/>
      <c r="J275" s="270"/>
      <c r="K275" s="270"/>
      <c r="L275" s="270"/>
      <c r="M275" s="270"/>
      <c r="N275" s="270"/>
      <c r="O275" s="270"/>
      <c r="P275" s="270"/>
      <c r="Q275" s="270"/>
      <c r="R275" s="270"/>
    </row>
    <row r="276" spans="1:18" s="225" customFormat="1" ht="12.75" customHeight="1" x14ac:dyDescent="0.2">
      <c r="A276" s="270"/>
      <c r="B276" s="231" t="s">
        <v>279</v>
      </c>
      <c r="C276" s="357">
        <f t="shared" si="54"/>
        <v>0</v>
      </c>
      <c r="D276" s="368">
        <f t="shared" si="54"/>
        <v>0</v>
      </c>
      <c r="E276" s="270"/>
      <c r="F276" s="270"/>
      <c r="G276" s="270"/>
      <c r="H276" s="270"/>
      <c r="I276" s="270"/>
      <c r="J276" s="270"/>
      <c r="K276" s="270"/>
      <c r="L276" s="270"/>
      <c r="M276" s="270"/>
      <c r="N276" s="270"/>
      <c r="O276" s="270"/>
      <c r="P276" s="270"/>
      <c r="Q276" s="270"/>
      <c r="R276" s="270"/>
    </row>
    <row r="277" spans="1:18" s="225" customFormat="1" ht="12.75" customHeight="1" x14ac:dyDescent="0.2">
      <c r="A277" s="270"/>
      <c r="B277" s="231" t="s">
        <v>280</v>
      </c>
      <c r="C277" s="357">
        <f t="shared" si="54"/>
        <v>0</v>
      </c>
      <c r="D277" s="368">
        <f t="shared" si="54"/>
        <v>0</v>
      </c>
      <c r="E277" s="270"/>
      <c r="F277" s="270"/>
      <c r="G277" s="270"/>
      <c r="H277" s="270"/>
      <c r="I277" s="270"/>
      <c r="J277" s="270"/>
      <c r="K277" s="270"/>
      <c r="L277" s="270"/>
      <c r="M277" s="270"/>
      <c r="N277" s="270"/>
      <c r="O277" s="270"/>
      <c r="P277" s="270"/>
      <c r="Q277" s="270"/>
      <c r="R277" s="270"/>
    </row>
    <row r="278" spans="1:18" s="225" customFormat="1" ht="12.75" customHeight="1" x14ac:dyDescent="0.2">
      <c r="A278" s="270"/>
      <c r="B278" s="231" t="s">
        <v>281</v>
      </c>
      <c r="C278" s="355">
        <f t="shared" si="54"/>
        <v>0</v>
      </c>
      <c r="D278" s="378">
        <f t="shared" si="54"/>
        <v>-52200</v>
      </c>
      <c r="E278" s="270"/>
      <c r="F278" s="270"/>
      <c r="G278" s="270"/>
      <c r="H278" s="270"/>
      <c r="I278" s="270"/>
      <c r="J278" s="270"/>
      <c r="K278" s="270"/>
      <c r="L278" s="270"/>
      <c r="M278" s="270"/>
      <c r="N278" s="270"/>
      <c r="O278" s="270"/>
      <c r="P278" s="270"/>
      <c r="Q278" s="270"/>
      <c r="R278" s="270"/>
    </row>
    <row r="279" spans="1:18" s="225" customFormat="1" ht="12.75" customHeight="1" x14ac:dyDescent="0.2">
      <c r="A279" s="270"/>
      <c r="B279" s="282"/>
      <c r="C279" s="430"/>
      <c r="D279" s="431"/>
      <c r="E279" s="270"/>
      <c r="F279" s="270"/>
      <c r="G279" s="270"/>
      <c r="H279" s="270"/>
      <c r="I279" s="270"/>
      <c r="J279" s="270"/>
      <c r="K279" s="270"/>
      <c r="L279" s="270"/>
      <c r="M279" s="270"/>
      <c r="N279" s="270"/>
      <c r="O279" s="270"/>
      <c r="P279" s="270"/>
      <c r="Q279" s="270"/>
      <c r="R279" s="270"/>
    </row>
    <row r="280" spans="1:18" s="225" customFormat="1" ht="12.75" customHeight="1" x14ac:dyDescent="0.2">
      <c r="A280" s="270"/>
      <c r="B280" s="282" t="s">
        <v>282</v>
      </c>
      <c r="C280" s="430"/>
      <c r="D280" s="431"/>
      <c r="E280" s="270"/>
      <c r="F280" s="270"/>
      <c r="G280" s="270"/>
      <c r="H280" s="270"/>
      <c r="I280" s="270"/>
      <c r="J280" s="270"/>
      <c r="K280" s="270"/>
      <c r="L280" s="270"/>
      <c r="M280" s="270"/>
      <c r="N280" s="270"/>
      <c r="O280" s="270"/>
      <c r="P280" s="270"/>
      <c r="Q280" s="270"/>
      <c r="R280" s="270"/>
    </row>
    <row r="281" spans="1:18" s="225" customFormat="1" ht="12.75" customHeight="1" x14ac:dyDescent="0.2">
      <c r="A281" s="270"/>
      <c r="B281" s="231" t="s">
        <v>301</v>
      </c>
      <c r="C281" s="357">
        <f t="shared" ref="C281:D287" si="55">C71-C176</f>
        <v>0</v>
      </c>
      <c r="D281" s="368">
        <f t="shared" si="55"/>
        <v>0</v>
      </c>
      <c r="E281" s="270"/>
      <c r="F281" s="270"/>
      <c r="G281" s="270"/>
      <c r="H281" s="270"/>
      <c r="I281" s="270"/>
      <c r="J281" s="270"/>
      <c r="K281" s="270"/>
      <c r="L281" s="270"/>
      <c r="M281" s="270"/>
      <c r="N281" s="270"/>
      <c r="O281" s="270"/>
      <c r="P281" s="270"/>
      <c r="Q281" s="270"/>
      <c r="R281" s="270"/>
    </row>
    <row r="282" spans="1:18" s="225" customFormat="1" ht="12.75" customHeight="1" x14ac:dyDescent="0.2">
      <c r="A282" s="270"/>
      <c r="B282" s="231" t="s">
        <v>283</v>
      </c>
      <c r="C282" s="357">
        <f t="shared" si="55"/>
        <v>0</v>
      </c>
      <c r="D282" s="368">
        <f t="shared" si="55"/>
        <v>0</v>
      </c>
      <c r="E282" s="270"/>
      <c r="F282" s="270"/>
      <c r="G282" s="270"/>
      <c r="H282" s="270"/>
      <c r="I282" s="270"/>
      <c r="J282" s="270"/>
      <c r="K282" s="270"/>
      <c r="L282" s="270"/>
      <c r="M282" s="270"/>
      <c r="N282" s="270"/>
      <c r="O282" s="270"/>
      <c r="P282" s="270"/>
      <c r="Q282" s="270"/>
      <c r="R282" s="270"/>
    </row>
    <row r="283" spans="1:18" s="225" customFormat="1" ht="12.75" customHeight="1" x14ac:dyDescent="0.2">
      <c r="A283" s="270"/>
      <c r="B283" s="231" t="s">
        <v>284</v>
      </c>
      <c r="C283" s="357">
        <f t="shared" si="55"/>
        <v>0</v>
      </c>
      <c r="D283" s="368">
        <f t="shared" si="55"/>
        <v>0</v>
      </c>
      <c r="E283" s="270"/>
      <c r="F283" s="270"/>
      <c r="G283" s="270"/>
      <c r="H283" s="270"/>
      <c r="I283" s="270"/>
      <c r="J283" s="270"/>
      <c r="K283" s="270"/>
      <c r="L283" s="270"/>
      <c r="M283" s="270"/>
      <c r="N283" s="270"/>
      <c r="O283" s="270"/>
      <c r="P283" s="270"/>
      <c r="Q283" s="270"/>
      <c r="R283" s="270"/>
    </row>
    <row r="284" spans="1:18" s="225" customFormat="1" ht="12.75" customHeight="1" x14ac:dyDescent="0.2">
      <c r="A284" s="270"/>
      <c r="B284" s="231" t="s">
        <v>285</v>
      </c>
      <c r="C284" s="357">
        <f t="shared" si="55"/>
        <v>0</v>
      </c>
      <c r="D284" s="368">
        <f t="shared" si="55"/>
        <v>0</v>
      </c>
      <c r="E284" s="270"/>
      <c r="F284" s="270"/>
      <c r="G284" s="270"/>
      <c r="H284" s="270"/>
      <c r="I284" s="270"/>
      <c r="J284" s="270"/>
      <c r="K284" s="270"/>
      <c r="L284" s="270"/>
      <c r="M284" s="270"/>
      <c r="N284" s="270"/>
      <c r="O284" s="270"/>
      <c r="P284" s="270"/>
      <c r="Q284" s="270"/>
      <c r="R284" s="270"/>
    </row>
    <row r="285" spans="1:18" s="225" customFormat="1" ht="12.75" customHeight="1" x14ac:dyDescent="0.2">
      <c r="A285" s="270"/>
      <c r="B285" s="231" t="s">
        <v>286</v>
      </c>
      <c r="C285" s="357">
        <f t="shared" si="55"/>
        <v>0</v>
      </c>
      <c r="D285" s="368">
        <f t="shared" si="55"/>
        <v>0</v>
      </c>
      <c r="E285" s="270"/>
      <c r="F285" s="270"/>
      <c r="G285" s="270"/>
      <c r="H285" s="270"/>
      <c r="I285" s="270"/>
      <c r="J285" s="270"/>
      <c r="K285" s="270"/>
      <c r="L285" s="270"/>
      <c r="M285" s="270"/>
      <c r="N285" s="270"/>
      <c r="O285" s="270"/>
      <c r="P285" s="270"/>
      <c r="Q285" s="270"/>
      <c r="R285" s="270"/>
    </row>
    <row r="286" spans="1:18" s="225" customFormat="1" ht="12.75" customHeight="1" x14ac:dyDescent="0.2">
      <c r="A286" s="270"/>
      <c r="B286" s="231" t="s">
        <v>287</v>
      </c>
      <c r="C286" s="355">
        <f t="shared" si="55"/>
        <v>0</v>
      </c>
      <c r="D286" s="378">
        <f t="shared" si="55"/>
        <v>0</v>
      </c>
      <c r="E286" s="270"/>
      <c r="F286" s="270"/>
      <c r="G286" s="270"/>
      <c r="H286" s="270"/>
      <c r="I286" s="270"/>
      <c r="J286" s="270"/>
      <c r="K286" s="270"/>
      <c r="L286" s="270"/>
      <c r="M286" s="270"/>
      <c r="N286" s="270"/>
      <c r="O286" s="270"/>
      <c r="P286" s="270"/>
      <c r="Q286" s="270"/>
      <c r="R286" s="270"/>
    </row>
    <row r="287" spans="1:18" s="225" customFormat="1" ht="12.75" customHeight="1" x14ac:dyDescent="0.2">
      <c r="A287" s="270"/>
      <c r="B287" s="231" t="s">
        <v>145</v>
      </c>
      <c r="C287" s="355">
        <f t="shared" si="55"/>
        <v>0</v>
      </c>
      <c r="D287" s="378">
        <f t="shared" si="55"/>
        <v>-52200</v>
      </c>
      <c r="E287" s="270"/>
      <c r="F287" s="270"/>
      <c r="G287" s="270"/>
      <c r="H287" s="270"/>
      <c r="I287" s="270"/>
      <c r="J287" s="270"/>
      <c r="K287" s="270"/>
      <c r="L287" s="270"/>
      <c r="M287" s="270"/>
      <c r="N287" s="270"/>
      <c r="O287" s="270"/>
      <c r="P287" s="270"/>
      <c r="Q287" s="270"/>
      <c r="R287" s="270"/>
    </row>
    <row r="288" spans="1:18" s="225" customFormat="1" ht="12.75" customHeight="1" x14ac:dyDescent="0.2">
      <c r="A288" s="270"/>
      <c r="B288" s="282"/>
      <c r="C288" s="430"/>
      <c r="D288" s="431"/>
      <c r="E288" s="270"/>
      <c r="F288" s="270"/>
      <c r="G288" s="270"/>
      <c r="H288" s="270"/>
      <c r="I288" s="270"/>
      <c r="J288" s="270"/>
      <c r="K288" s="270"/>
      <c r="L288" s="270"/>
      <c r="M288" s="270"/>
      <c r="N288" s="270"/>
      <c r="O288" s="270"/>
      <c r="P288" s="270"/>
      <c r="Q288" s="270"/>
      <c r="R288" s="270"/>
    </row>
    <row r="289" spans="1:18" s="225" customFormat="1" ht="12.75" customHeight="1" x14ac:dyDescent="0.2">
      <c r="A289" s="270"/>
      <c r="B289" s="336" t="s">
        <v>288</v>
      </c>
      <c r="C289" s="430"/>
      <c r="D289" s="431"/>
      <c r="E289" s="270"/>
      <c r="F289" s="270"/>
      <c r="G289" s="270"/>
      <c r="H289" s="270"/>
      <c r="I289" s="270"/>
      <c r="J289" s="270"/>
      <c r="K289" s="270"/>
      <c r="L289" s="270"/>
      <c r="M289" s="270"/>
      <c r="N289" s="270"/>
      <c r="O289" s="270"/>
      <c r="P289" s="270"/>
      <c r="Q289" s="270"/>
      <c r="R289" s="270"/>
    </row>
    <row r="290" spans="1:18" s="225" customFormat="1" ht="12.75" customHeight="1" x14ac:dyDescent="0.2">
      <c r="A290" s="270"/>
      <c r="B290" s="282" t="s">
        <v>289</v>
      </c>
      <c r="C290" s="430"/>
      <c r="D290" s="431"/>
      <c r="E290" s="270"/>
      <c r="F290" s="270"/>
      <c r="G290" s="270"/>
      <c r="H290" s="270"/>
      <c r="I290" s="270"/>
      <c r="J290" s="270"/>
      <c r="K290" s="270"/>
      <c r="L290" s="270"/>
      <c r="M290" s="270"/>
      <c r="N290" s="270"/>
      <c r="O290" s="270"/>
      <c r="P290" s="270"/>
      <c r="Q290" s="270"/>
      <c r="R290" s="270"/>
    </row>
    <row r="291" spans="1:18" s="225" customFormat="1" ht="12.75" customHeight="1" x14ac:dyDescent="0.2">
      <c r="A291" s="270"/>
      <c r="B291" s="231" t="s">
        <v>290</v>
      </c>
      <c r="C291" s="357">
        <f t="shared" ref="C291:D293" si="56">C81-C186</f>
        <v>0</v>
      </c>
      <c r="D291" s="368">
        <f t="shared" si="56"/>
        <v>0</v>
      </c>
      <c r="E291" s="270"/>
      <c r="F291" s="270"/>
      <c r="G291" s="270"/>
      <c r="H291" s="270"/>
      <c r="I291" s="270"/>
      <c r="J291" s="270"/>
      <c r="K291" s="270"/>
      <c r="L291" s="270"/>
      <c r="M291" s="270"/>
      <c r="N291" s="270"/>
      <c r="O291" s="270"/>
      <c r="P291" s="270"/>
      <c r="Q291" s="270"/>
      <c r="R291" s="270"/>
    </row>
    <row r="292" spans="1:18" s="225" customFormat="1" ht="12.75" customHeight="1" x14ac:dyDescent="0.2">
      <c r="A292" s="270"/>
      <c r="B292" s="231" t="s">
        <v>291</v>
      </c>
      <c r="C292" s="357">
        <f t="shared" si="56"/>
        <v>0</v>
      </c>
      <c r="D292" s="368">
        <f t="shared" si="56"/>
        <v>0</v>
      </c>
      <c r="E292" s="270"/>
      <c r="F292" s="270"/>
      <c r="G292" s="270"/>
      <c r="H292" s="270"/>
      <c r="I292" s="270"/>
      <c r="J292" s="270"/>
      <c r="K292" s="270"/>
      <c r="L292" s="270"/>
      <c r="M292" s="270"/>
      <c r="N292" s="270"/>
      <c r="O292" s="270"/>
      <c r="P292" s="270"/>
      <c r="Q292" s="270"/>
      <c r="R292" s="270"/>
    </row>
    <row r="293" spans="1:18" s="225" customFormat="1" ht="12.75" customHeight="1" x14ac:dyDescent="0.2">
      <c r="A293" s="270"/>
      <c r="B293" s="231" t="s">
        <v>302</v>
      </c>
      <c r="C293" s="357">
        <f t="shared" si="56"/>
        <v>0</v>
      </c>
      <c r="D293" s="368">
        <f t="shared" si="56"/>
        <v>0</v>
      </c>
      <c r="E293" s="270"/>
      <c r="F293" s="270"/>
      <c r="G293" s="270"/>
      <c r="H293" s="270"/>
      <c r="I293" s="270"/>
      <c r="J293" s="270"/>
      <c r="K293" s="270"/>
      <c r="L293" s="270"/>
      <c r="M293" s="270"/>
      <c r="N293" s="270"/>
      <c r="O293" s="270"/>
      <c r="P293" s="270"/>
      <c r="Q293" s="270"/>
      <c r="R293" s="270"/>
    </row>
    <row r="294" spans="1:18" s="225" customFormat="1" ht="12.75" customHeight="1" x14ac:dyDescent="0.2">
      <c r="A294" s="270"/>
      <c r="B294" s="231" t="s">
        <v>292</v>
      </c>
      <c r="C294" s="357">
        <f t="shared" ref="C294:D294" si="57">C84-C189</f>
        <v>0</v>
      </c>
      <c r="D294" s="368">
        <f t="shared" si="57"/>
        <v>0</v>
      </c>
      <c r="E294" s="270"/>
      <c r="F294" s="270"/>
      <c r="G294" s="270"/>
      <c r="H294" s="270"/>
      <c r="I294" s="270"/>
      <c r="J294" s="270"/>
      <c r="K294" s="270"/>
      <c r="L294" s="270"/>
      <c r="M294" s="270"/>
      <c r="N294" s="270"/>
      <c r="O294" s="270"/>
      <c r="P294" s="270"/>
      <c r="Q294" s="270"/>
      <c r="R294" s="270"/>
    </row>
    <row r="295" spans="1:18" s="225" customFormat="1" ht="12.75" customHeight="1" x14ac:dyDescent="0.2">
      <c r="A295" s="270"/>
      <c r="B295" s="231" t="s">
        <v>503</v>
      </c>
      <c r="C295" s="357">
        <f t="shared" ref="C295:D295" si="58">C85-C190</f>
        <v>0</v>
      </c>
      <c r="D295" s="368">
        <f t="shared" si="58"/>
        <v>0</v>
      </c>
      <c r="E295" s="270"/>
      <c r="F295" s="270"/>
      <c r="G295" s="270"/>
      <c r="H295" s="270"/>
      <c r="I295" s="270"/>
      <c r="J295" s="270"/>
      <c r="K295" s="270"/>
      <c r="L295" s="270"/>
      <c r="M295" s="270"/>
      <c r="N295" s="270"/>
      <c r="O295" s="270"/>
      <c r="P295" s="270"/>
      <c r="Q295" s="270"/>
      <c r="R295" s="270"/>
    </row>
    <row r="296" spans="1:18" s="225" customFormat="1" ht="12.75" customHeight="1" x14ac:dyDescent="0.2">
      <c r="A296" s="270"/>
      <c r="B296" s="231" t="s">
        <v>293</v>
      </c>
      <c r="C296" s="355">
        <f>C86-C191</f>
        <v>0</v>
      </c>
      <c r="D296" s="378">
        <f>D86-D191</f>
        <v>0</v>
      </c>
      <c r="E296" s="270"/>
      <c r="F296" s="270"/>
      <c r="G296" s="270"/>
      <c r="H296" s="270"/>
      <c r="I296" s="270"/>
      <c r="J296" s="270"/>
      <c r="K296" s="270"/>
      <c r="L296" s="270"/>
      <c r="M296" s="270"/>
      <c r="N296" s="270"/>
      <c r="O296" s="270"/>
      <c r="P296" s="270"/>
      <c r="Q296" s="270"/>
      <c r="R296" s="270"/>
    </row>
    <row r="297" spans="1:18" s="225" customFormat="1" ht="12.75" customHeight="1" x14ac:dyDescent="0.2">
      <c r="A297" s="270"/>
      <c r="B297" s="282"/>
      <c r="C297" s="430"/>
      <c r="D297" s="431"/>
      <c r="E297" s="270"/>
      <c r="F297" s="270"/>
      <c r="G297" s="270"/>
      <c r="H297" s="270"/>
      <c r="I297" s="270"/>
      <c r="J297" s="270"/>
      <c r="K297" s="270"/>
      <c r="L297" s="270"/>
      <c r="M297" s="270"/>
      <c r="N297" s="270"/>
      <c r="O297" s="270"/>
      <c r="P297" s="270"/>
      <c r="Q297" s="270"/>
      <c r="R297" s="270"/>
    </row>
    <row r="298" spans="1:18" s="225" customFormat="1" ht="12.75" customHeight="1" x14ac:dyDescent="0.2">
      <c r="A298" s="270"/>
      <c r="B298" s="282" t="s">
        <v>294</v>
      </c>
      <c r="C298" s="430"/>
      <c r="D298" s="431"/>
      <c r="E298" s="270"/>
      <c r="F298" s="270"/>
      <c r="G298" s="270"/>
      <c r="H298" s="270"/>
      <c r="I298" s="270"/>
      <c r="J298" s="270"/>
      <c r="K298" s="270"/>
      <c r="L298" s="270"/>
      <c r="M298" s="270"/>
      <c r="N298" s="270"/>
      <c r="O298" s="270"/>
      <c r="P298" s="270"/>
      <c r="Q298" s="270"/>
      <c r="R298" s="270"/>
    </row>
    <row r="299" spans="1:18" s="225" customFormat="1" ht="12.75" customHeight="1" x14ac:dyDescent="0.2">
      <c r="A299" s="270"/>
      <c r="B299" s="231" t="s">
        <v>290</v>
      </c>
      <c r="C299" s="357">
        <f t="shared" ref="C299:D303" si="59">C89-C194</f>
        <v>0</v>
      </c>
      <c r="D299" s="368">
        <f t="shared" si="59"/>
        <v>0</v>
      </c>
      <c r="E299" s="270"/>
      <c r="F299" s="270"/>
      <c r="G299" s="270"/>
      <c r="H299" s="270"/>
      <c r="I299" s="270"/>
      <c r="J299" s="270"/>
      <c r="K299" s="270"/>
      <c r="L299" s="270"/>
      <c r="M299" s="270"/>
      <c r="N299" s="270"/>
      <c r="O299" s="270"/>
      <c r="P299" s="270"/>
      <c r="Q299" s="270"/>
      <c r="R299" s="270"/>
    </row>
    <row r="300" spans="1:18" s="225" customFormat="1" ht="12.75" customHeight="1" x14ac:dyDescent="0.2">
      <c r="A300" s="270"/>
      <c r="B300" s="231" t="s">
        <v>302</v>
      </c>
      <c r="C300" s="357">
        <f t="shared" si="59"/>
        <v>0</v>
      </c>
      <c r="D300" s="368">
        <f t="shared" si="59"/>
        <v>0</v>
      </c>
      <c r="E300" s="270"/>
      <c r="F300" s="270"/>
      <c r="G300" s="270"/>
      <c r="H300" s="270"/>
      <c r="I300" s="270"/>
      <c r="J300" s="270"/>
      <c r="K300" s="270"/>
      <c r="L300" s="270"/>
      <c r="M300" s="270"/>
      <c r="N300" s="270"/>
      <c r="O300" s="270"/>
      <c r="P300" s="270"/>
      <c r="Q300" s="270"/>
      <c r="R300" s="270"/>
    </row>
    <row r="301" spans="1:18" s="225" customFormat="1" ht="12.75" customHeight="1" x14ac:dyDescent="0.2">
      <c r="A301" s="270"/>
      <c r="B301" s="231" t="s">
        <v>292</v>
      </c>
      <c r="C301" s="357">
        <f t="shared" si="59"/>
        <v>0</v>
      </c>
      <c r="D301" s="368">
        <f t="shared" si="59"/>
        <v>0</v>
      </c>
      <c r="E301" s="270"/>
      <c r="F301" s="270"/>
      <c r="G301" s="270"/>
      <c r="H301" s="270"/>
      <c r="I301" s="270"/>
      <c r="J301" s="270"/>
      <c r="K301" s="270"/>
      <c r="L301" s="270"/>
      <c r="M301" s="270"/>
      <c r="N301" s="270"/>
      <c r="O301" s="270"/>
      <c r="P301" s="270"/>
      <c r="Q301" s="270"/>
      <c r="R301" s="270"/>
    </row>
    <row r="302" spans="1:18" s="225" customFormat="1" ht="12.75" customHeight="1" x14ac:dyDescent="0.2">
      <c r="A302" s="270"/>
      <c r="B302" s="231" t="s">
        <v>295</v>
      </c>
      <c r="C302" s="355">
        <f t="shared" si="59"/>
        <v>0</v>
      </c>
      <c r="D302" s="378">
        <f t="shared" si="59"/>
        <v>0</v>
      </c>
      <c r="E302" s="270"/>
      <c r="F302" s="270"/>
      <c r="G302" s="270"/>
      <c r="H302" s="270"/>
      <c r="I302" s="270"/>
      <c r="J302" s="270"/>
      <c r="K302" s="270"/>
      <c r="L302" s="270"/>
      <c r="M302" s="270"/>
      <c r="N302" s="270"/>
      <c r="O302" s="270"/>
      <c r="P302" s="270"/>
      <c r="Q302" s="270"/>
      <c r="R302" s="270"/>
    </row>
    <row r="303" spans="1:18" s="225" customFormat="1" ht="12.75" customHeight="1" x14ac:dyDescent="0.2">
      <c r="A303" s="270"/>
      <c r="B303" s="231" t="s">
        <v>296</v>
      </c>
      <c r="C303" s="355">
        <f t="shared" si="59"/>
        <v>0</v>
      </c>
      <c r="D303" s="378">
        <f t="shared" si="59"/>
        <v>0</v>
      </c>
      <c r="E303" s="270"/>
      <c r="F303" s="270"/>
      <c r="G303" s="270"/>
      <c r="H303" s="270"/>
      <c r="I303" s="270"/>
      <c r="J303" s="270"/>
      <c r="K303" s="270"/>
      <c r="L303" s="270"/>
      <c r="M303" s="270"/>
      <c r="N303" s="270"/>
      <c r="O303" s="270"/>
      <c r="P303" s="270"/>
      <c r="Q303" s="270"/>
      <c r="R303" s="270"/>
    </row>
    <row r="304" spans="1:18" s="225" customFormat="1" ht="12.75" customHeight="1" x14ac:dyDescent="0.2">
      <c r="A304" s="270"/>
      <c r="B304" s="282"/>
      <c r="C304" s="430"/>
      <c r="D304" s="431"/>
      <c r="E304" s="270"/>
      <c r="F304" s="270"/>
      <c r="G304" s="270"/>
      <c r="H304" s="270"/>
      <c r="I304" s="270"/>
      <c r="J304" s="270"/>
      <c r="K304" s="270"/>
      <c r="L304" s="270"/>
      <c r="M304" s="270"/>
      <c r="N304" s="270"/>
      <c r="O304" s="270"/>
      <c r="P304" s="270"/>
      <c r="Q304" s="270"/>
      <c r="R304" s="270"/>
    </row>
    <row r="305" spans="1:18" s="225" customFormat="1" ht="12.75" customHeight="1" x14ac:dyDescent="0.2">
      <c r="A305" s="270"/>
      <c r="B305" s="231" t="s">
        <v>297</v>
      </c>
      <c r="C305" s="436">
        <f>C95-C200</f>
        <v>0</v>
      </c>
      <c r="D305" s="437">
        <f>D95-D200</f>
        <v>-52200</v>
      </c>
      <c r="E305" s="270"/>
      <c r="F305" s="270"/>
      <c r="G305" s="270"/>
      <c r="H305" s="270"/>
      <c r="I305" s="270"/>
      <c r="J305" s="270"/>
      <c r="K305" s="270"/>
      <c r="L305" s="270"/>
      <c r="M305" s="270"/>
      <c r="N305" s="270"/>
      <c r="O305" s="270"/>
      <c r="P305" s="270"/>
      <c r="Q305" s="270"/>
      <c r="R305" s="270"/>
    </row>
    <row r="306" spans="1:18" s="225" customFormat="1" ht="12.75" customHeight="1" x14ac:dyDescent="0.2">
      <c r="A306" s="270"/>
      <c r="B306" s="282"/>
      <c r="C306" s="430"/>
      <c r="D306" s="431"/>
      <c r="E306" s="270"/>
      <c r="F306" s="270"/>
      <c r="G306" s="270"/>
      <c r="H306" s="270"/>
      <c r="I306" s="270"/>
      <c r="J306" s="270"/>
      <c r="K306" s="270"/>
      <c r="L306" s="270"/>
      <c r="M306" s="270"/>
      <c r="N306" s="270"/>
      <c r="O306" s="270"/>
      <c r="P306" s="270"/>
      <c r="Q306" s="270"/>
      <c r="R306" s="270"/>
    </row>
    <row r="307" spans="1:18" s="225" customFormat="1" ht="12.75" customHeight="1" x14ac:dyDescent="0.2">
      <c r="A307" s="270"/>
      <c r="B307" s="336" t="s">
        <v>298</v>
      </c>
      <c r="C307" s="430"/>
      <c r="D307" s="431"/>
      <c r="E307" s="270"/>
      <c r="F307" s="270"/>
      <c r="G307" s="270"/>
      <c r="H307" s="270"/>
      <c r="I307" s="270"/>
      <c r="J307" s="270"/>
      <c r="K307" s="270"/>
      <c r="L307" s="270"/>
      <c r="M307" s="270"/>
      <c r="N307" s="270"/>
      <c r="O307" s="270"/>
      <c r="P307" s="270"/>
      <c r="Q307" s="270"/>
      <c r="R307" s="270"/>
    </row>
    <row r="308" spans="1:18" s="225" customFormat="1" ht="12.75" customHeight="1" x14ac:dyDescent="0.2">
      <c r="A308" s="270"/>
      <c r="B308" s="231" t="s">
        <v>299</v>
      </c>
      <c r="C308" s="357">
        <f t="shared" ref="C308:D313" si="60">C98-C203</f>
        <v>0</v>
      </c>
      <c r="D308" s="368">
        <f t="shared" si="60"/>
        <v>0</v>
      </c>
      <c r="E308" s="270"/>
      <c r="F308" s="270"/>
      <c r="G308" s="270"/>
      <c r="H308" s="270"/>
      <c r="I308" s="270"/>
      <c r="J308" s="270"/>
      <c r="K308" s="270"/>
      <c r="L308" s="270"/>
      <c r="M308" s="270"/>
      <c r="N308" s="270"/>
      <c r="O308" s="270"/>
      <c r="P308" s="270"/>
      <c r="Q308" s="270"/>
      <c r="R308" s="270"/>
    </row>
    <row r="309" spans="1:18" s="225" customFormat="1" ht="12.75" customHeight="1" x14ac:dyDescent="0.2">
      <c r="A309" s="270"/>
      <c r="B309" s="231" t="s">
        <v>111</v>
      </c>
      <c r="C309" s="357">
        <f t="shared" si="60"/>
        <v>0</v>
      </c>
      <c r="D309" s="368">
        <f t="shared" si="60"/>
        <v>-52200</v>
      </c>
      <c r="E309" s="270"/>
      <c r="F309" s="270"/>
      <c r="G309" s="270"/>
      <c r="H309" s="270"/>
      <c r="I309" s="270"/>
      <c r="J309" s="270"/>
      <c r="K309" s="270"/>
      <c r="L309" s="270"/>
      <c r="M309" s="270"/>
      <c r="N309" s="270"/>
      <c r="O309" s="270"/>
      <c r="P309" s="270"/>
      <c r="Q309" s="270"/>
      <c r="R309" s="270"/>
    </row>
    <row r="310" spans="1:18" s="225" customFormat="1" ht="12.75" customHeight="1" x14ac:dyDescent="0.2">
      <c r="A310" s="270"/>
      <c r="B310" s="231" t="s">
        <v>315</v>
      </c>
      <c r="C310" s="357">
        <f t="shared" si="60"/>
        <v>0</v>
      </c>
      <c r="D310" s="368">
        <f t="shared" si="60"/>
        <v>0</v>
      </c>
      <c r="E310" s="270"/>
      <c r="F310" s="270"/>
      <c r="G310" s="270"/>
      <c r="H310" s="270"/>
      <c r="I310" s="270"/>
      <c r="J310" s="270"/>
      <c r="K310" s="270"/>
      <c r="L310" s="270"/>
      <c r="M310" s="270"/>
      <c r="N310" s="270"/>
      <c r="O310" s="270"/>
      <c r="P310" s="270"/>
      <c r="Q310" s="270"/>
      <c r="R310" s="270"/>
    </row>
    <row r="311" spans="1:18" s="225" customFormat="1" ht="12.75" customHeight="1" x14ac:dyDescent="0.2">
      <c r="A311" s="270"/>
      <c r="B311" s="231" t="s">
        <v>311</v>
      </c>
      <c r="C311" s="357">
        <f t="shared" si="60"/>
        <v>0</v>
      </c>
      <c r="D311" s="368">
        <f t="shared" si="60"/>
        <v>0</v>
      </c>
      <c r="E311" s="270"/>
      <c r="F311" s="270"/>
      <c r="G311" s="270"/>
      <c r="H311" s="270"/>
      <c r="I311" s="270"/>
      <c r="J311" s="270"/>
      <c r="K311" s="270"/>
      <c r="L311" s="270"/>
      <c r="M311" s="270"/>
      <c r="N311" s="270"/>
      <c r="O311" s="270"/>
      <c r="P311" s="270"/>
      <c r="Q311" s="270"/>
      <c r="R311" s="270"/>
    </row>
    <row r="312" spans="1:18" s="225" customFormat="1" ht="12.75" customHeight="1" x14ac:dyDescent="0.2">
      <c r="A312" s="270"/>
      <c r="B312" s="231" t="s">
        <v>316</v>
      </c>
      <c r="C312" s="357">
        <f t="shared" si="60"/>
        <v>0</v>
      </c>
      <c r="D312" s="368">
        <f t="shared" si="60"/>
        <v>-52200</v>
      </c>
      <c r="E312" s="270"/>
      <c r="F312" s="270"/>
      <c r="G312" s="270"/>
      <c r="H312" s="270"/>
      <c r="I312" s="270"/>
      <c r="J312" s="270"/>
      <c r="K312" s="270"/>
      <c r="L312" s="270"/>
      <c r="M312" s="270"/>
      <c r="N312" s="270"/>
      <c r="O312" s="270"/>
      <c r="P312" s="270"/>
      <c r="Q312" s="270"/>
      <c r="R312" s="270"/>
    </row>
    <row r="313" spans="1:18" s="225" customFormat="1" ht="12.75" customHeight="1" x14ac:dyDescent="0.2">
      <c r="A313" s="270"/>
      <c r="B313" s="383" t="s">
        <v>300</v>
      </c>
      <c r="C313" s="370">
        <f t="shared" si="60"/>
        <v>0</v>
      </c>
      <c r="D313" s="371">
        <f t="shared" si="60"/>
        <v>-52200</v>
      </c>
      <c r="E313" s="270"/>
      <c r="F313" s="270"/>
      <c r="G313" s="270"/>
      <c r="H313" s="270"/>
      <c r="I313" s="270"/>
      <c r="J313" s="270"/>
      <c r="K313" s="270"/>
      <c r="L313" s="270"/>
      <c r="M313" s="270"/>
      <c r="N313" s="270"/>
      <c r="O313" s="270"/>
      <c r="P313" s="270"/>
      <c r="Q313" s="270"/>
      <c r="R313" s="270"/>
    </row>
    <row r="314" spans="1:18" s="225" customFormat="1" ht="12.75" customHeight="1" x14ac:dyDescent="0.2">
      <c r="A314" s="270"/>
      <c r="B314" s="272"/>
      <c r="C314" s="358"/>
      <c r="D314" s="358"/>
      <c r="E314" s="270"/>
      <c r="F314" s="270"/>
      <c r="G314" s="270"/>
      <c r="H314" s="270"/>
      <c r="I314" s="270"/>
      <c r="J314" s="270"/>
      <c r="K314" s="270"/>
      <c r="L314" s="270"/>
      <c r="M314" s="270"/>
      <c r="N314" s="270"/>
      <c r="O314" s="270"/>
      <c r="P314" s="270"/>
      <c r="Q314" s="270"/>
      <c r="R314" s="270"/>
    </row>
    <row r="315" spans="1:18" s="225" customFormat="1" ht="12.75" customHeight="1" x14ac:dyDescent="0.2">
      <c r="A315" s="270"/>
      <c r="B315" s="393" t="s">
        <v>269</v>
      </c>
      <c r="C315" s="407"/>
      <c r="D315" s="408"/>
      <c r="E315" s="270"/>
      <c r="F315" s="270"/>
      <c r="G315" s="270"/>
      <c r="H315" s="270"/>
      <c r="I315" s="270"/>
      <c r="J315" s="270"/>
      <c r="K315" s="270"/>
      <c r="L315" s="270"/>
      <c r="M315" s="270"/>
      <c r="N315" s="270"/>
      <c r="O315" s="270"/>
      <c r="P315" s="270"/>
      <c r="Q315" s="270"/>
      <c r="R315" s="270"/>
    </row>
    <row r="316" spans="1:18" s="225" customFormat="1" ht="12.75" customHeight="1" x14ac:dyDescent="0.2">
      <c r="A316" s="270"/>
      <c r="B316" s="231" t="s">
        <v>270</v>
      </c>
      <c r="C316" s="357">
        <f t="shared" ref="C316:D320" si="61">C106-C211</f>
        <v>0</v>
      </c>
      <c r="D316" s="368">
        <f t="shared" si="61"/>
        <v>35000</v>
      </c>
      <c r="E316" s="270"/>
      <c r="F316" s="270"/>
      <c r="G316" s="270"/>
      <c r="H316" s="270"/>
      <c r="I316" s="270"/>
      <c r="J316" s="270"/>
      <c r="K316" s="270"/>
      <c r="L316" s="270"/>
      <c r="M316" s="270"/>
      <c r="N316" s="270"/>
      <c r="O316" s="270"/>
      <c r="P316" s="270"/>
      <c r="Q316" s="270"/>
      <c r="R316" s="270"/>
    </row>
    <row r="317" spans="1:18" s="225" customFormat="1" ht="12.75" customHeight="1" x14ac:dyDescent="0.2">
      <c r="A317" s="270"/>
      <c r="B317" s="231" t="s">
        <v>271</v>
      </c>
      <c r="C317" s="357">
        <f t="shared" si="61"/>
        <v>0</v>
      </c>
      <c r="D317" s="368">
        <f t="shared" si="61"/>
        <v>30000</v>
      </c>
      <c r="E317" s="270"/>
      <c r="F317" s="270"/>
      <c r="G317" s="270"/>
      <c r="H317" s="270"/>
      <c r="I317" s="270"/>
      <c r="J317" s="270"/>
      <c r="K317" s="270"/>
      <c r="L317" s="270"/>
      <c r="M317" s="270"/>
      <c r="N317" s="270"/>
      <c r="O317" s="270"/>
      <c r="P317" s="270"/>
      <c r="Q317" s="270"/>
      <c r="R317" s="270"/>
    </row>
    <row r="318" spans="1:18" s="225" customFormat="1" ht="12.75" customHeight="1" x14ac:dyDescent="0.2">
      <c r="A318" s="270"/>
      <c r="B318" s="231" t="s">
        <v>272</v>
      </c>
      <c r="C318" s="357">
        <f t="shared" si="61"/>
        <v>0</v>
      </c>
      <c r="D318" s="368">
        <f t="shared" si="61"/>
        <v>0</v>
      </c>
      <c r="E318" s="270"/>
      <c r="F318" s="270"/>
      <c r="G318" s="270"/>
      <c r="H318" s="270"/>
      <c r="I318" s="270"/>
      <c r="J318" s="270"/>
      <c r="K318" s="270"/>
      <c r="L318" s="270"/>
      <c r="M318" s="270"/>
      <c r="N318" s="270"/>
      <c r="O318" s="270"/>
      <c r="P318" s="270"/>
      <c r="Q318" s="270"/>
      <c r="R318" s="270"/>
    </row>
    <row r="319" spans="1:18" s="225" customFormat="1" ht="12.75" customHeight="1" x14ac:dyDescent="0.2">
      <c r="A319" s="270"/>
      <c r="B319" s="231" t="s">
        <v>273</v>
      </c>
      <c r="C319" s="357">
        <f t="shared" si="61"/>
        <v>0</v>
      </c>
      <c r="D319" s="368">
        <f t="shared" si="61"/>
        <v>0</v>
      </c>
      <c r="E319" s="270"/>
      <c r="F319" s="270"/>
      <c r="G319" s="270"/>
      <c r="H319" s="270"/>
      <c r="I319" s="270"/>
      <c r="J319" s="270"/>
      <c r="K319" s="270"/>
      <c r="L319" s="270"/>
      <c r="M319" s="270"/>
      <c r="N319" s="270"/>
      <c r="O319" s="270"/>
      <c r="P319" s="270"/>
      <c r="Q319" s="270"/>
      <c r="R319" s="270"/>
    </row>
    <row r="320" spans="1:18" s="225" customFormat="1" ht="12.75" customHeight="1" x14ac:dyDescent="0.2">
      <c r="A320" s="270"/>
      <c r="B320" s="379" t="s">
        <v>274</v>
      </c>
      <c r="C320" s="370">
        <f t="shared" si="61"/>
        <v>0</v>
      </c>
      <c r="D320" s="371">
        <f t="shared" si="61"/>
        <v>65000</v>
      </c>
      <c r="E320" s="270"/>
      <c r="F320" s="270"/>
      <c r="G320" s="270"/>
      <c r="H320" s="270"/>
      <c r="I320" s="270"/>
      <c r="J320" s="270"/>
      <c r="K320" s="270"/>
      <c r="L320" s="270"/>
      <c r="M320" s="270"/>
      <c r="N320" s="270"/>
      <c r="O320" s="270"/>
      <c r="P320" s="270"/>
      <c r="Q320" s="270"/>
      <c r="R320" s="270"/>
    </row>
    <row r="321" spans="1:18" s="225" customFormat="1" x14ac:dyDescent="0.2">
      <c r="A321" s="270"/>
      <c r="B321" s="270"/>
      <c r="C321" s="270"/>
      <c r="D321" s="270"/>
      <c r="E321" s="270"/>
      <c r="F321" s="270"/>
      <c r="G321" s="270"/>
      <c r="H321" s="270"/>
      <c r="I321" s="270"/>
      <c r="J321" s="270"/>
      <c r="K321" s="270"/>
      <c r="L321" s="270"/>
      <c r="M321" s="270"/>
      <c r="N321" s="270"/>
      <c r="O321" s="270"/>
      <c r="P321" s="270"/>
      <c r="Q321" s="270"/>
      <c r="R321" s="270"/>
    </row>
    <row r="322" spans="1:18" s="225" customFormat="1" x14ac:dyDescent="0.2">
      <c r="A322" s="270"/>
      <c r="B322" s="270"/>
      <c r="C322" s="270"/>
      <c r="D322" s="270"/>
      <c r="E322" s="270"/>
      <c r="F322" s="270"/>
      <c r="G322" s="270"/>
      <c r="H322" s="270"/>
      <c r="I322" s="270"/>
      <c r="J322" s="270"/>
      <c r="K322" s="270"/>
      <c r="L322" s="270"/>
      <c r="M322" s="270"/>
      <c r="N322" s="270"/>
      <c r="O322" s="270"/>
      <c r="P322" s="270"/>
      <c r="Q322" s="270"/>
      <c r="R322" s="270"/>
    </row>
    <row r="323" spans="1:18" s="225" customFormat="1" ht="19.5" x14ac:dyDescent="0.25">
      <c r="A323" s="270"/>
      <c r="B323" s="338" t="s">
        <v>275</v>
      </c>
      <c r="C323" s="270"/>
      <c r="D323" s="270"/>
      <c r="E323" s="270"/>
      <c r="F323" s="270"/>
      <c r="G323" s="270"/>
      <c r="H323" s="270"/>
      <c r="I323" s="270"/>
      <c r="J323" s="270"/>
      <c r="K323" s="270"/>
      <c r="L323" s="270"/>
      <c r="M323" s="270"/>
      <c r="N323" s="270"/>
      <c r="O323" s="270"/>
      <c r="P323" s="270"/>
      <c r="Q323" s="270"/>
      <c r="R323" s="270"/>
    </row>
    <row r="324" spans="1:18" s="225" customFormat="1" x14ac:dyDescent="0.2">
      <c r="A324" s="270"/>
      <c r="B324" s="270"/>
      <c r="C324" s="270"/>
      <c r="D324" s="270"/>
      <c r="E324" s="270"/>
      <c r="F324" s="270"/>
      <c r="G324" s="270"/>
      <c r="H324" s="270"/>
      <c r="I324" s="270"/>
      <c r="J324" s="270"/>
      <c r="K324" s="270"/>
      <c r="L324" s="270"/>
      <c r="M324" s="270"/>
      <c r="N324" s="270"/>
      <c r="O324" s="270"/>
      <c r="P324" s="270"/>
      <c r="Q324" s="270"/>
    </row>
    <row r="325" spans="1:18" s="225" customFormat="1" x14ac:dyDescent="0.2">
      <c r="A325" s="270"/>
      <c r="B325" s="534"/>
      <c r="C325" s="541"/>
      <c r="D325" s="541"/>
      <c r="E325" s="541"/>
      <c r="F325" s="542"/>
      <c r="G325" s="270"/>
      <c r="H325" s="270"/>
      <c r="I325" s="270"/>
      <c r="J325" s="270"/>
      <c r="K325" s="270"/>
      <c r="L325" s="270"/>
      <c r="M325" s="270"/>
      <c r="N325" s="270"/>
      <c r="O325" s="270"/>
      <c r="P325" s="270"/>
      <c r="Q325" s="270"/>
    </row>
    <row r="326" spans="1:18" s="225" customFormat="1" ht="33" customHeight="1" x14ac:dyDescent="0.2">
      <c r="A326" s="270"/>
      <c r="B326" s="282"/>
      <c r="C326" s="81" t="s">
        <v>354</v>
      </c>
      <c r="D326" s="81" t="s">
        <v>355</v>
      </c>
      <c r="E326" s="81" t="s">
        <v>362</v>
      </c>
      <c r="F326" s="455" t="s">
        <v>361</v>
      </c>
      <c r="G326" s="270"/>
      <c r="H326" s="270"/>
      <c r="I326" s="270"/>
      <c r="J326" s="270"/>
      <c r="K326" s="270"/>
      <c r="L326" s="270"/>
      <c r="M326" s="270"/>
      <c r="N326" s="270"/>
      <c r="O326" s="270"/>
      <c r="P326" s="270"/>
      <c r="Q326" s="270"/>
    </row>
    <row r="327" spans="1:18" s="225" customFormat="1" x14ac:dyDescent="0.2">
      <c r="A327" s="270"/>
      <c r="B327" s="282" t="s">
        <v>152</v>
      </c>
      <c r="C327" s="357">
        <f>D40</f>
        <v>13075073.977933977</v>
      </c>
      <c r="D327" s="357">
        <f>D145</f>
        <v>12920473.977933977</v>
      </c>
      <c r="E327" s="357">
        <f>SUM(D40:G40)</f>
        <v>53121236.35468889</v>
      </c>
      <c r="F327" s="368">
        <f>SUM(D40:M40)</f>
        <v>53121236.35468889</v>
      </c>
      <c r="G327" s="270"/>
      <c r="H327" s="270"/>
      <c r="I327" s="270"/>
      <c r="J327" s="270"/>
      <c r="K327" s="270"/>
      <c r="L327" s="270"/>
      <c r="M327" s="270"/>
      <c r="N327" s="270"/>
      <c r="O327" s="270"/>
      <c r="P327" s="270"/>
      <c r="Q327" s="270"/>
    </row>
    <row r="328" spans="1:18" s="225" customFormat="1" x14ac:dyDescent="0.2">
      <c r="A328" s="270"/>
      <c r="B328" s="282" t="s">
        <v>352</v>
      </c>
      <c r="C328" s="357">
        <f>D54</f>
        <v>10948942.583550001</v>
      </c>
      <c r="D328" s="357">
        <f>D159</f>
        <v>10911542.583550001</v>
      </c>
      <c r="E328" s="357">
        <f>SUM(D54:G54)</f>
        <v>43638532.872813858</v>
      </c>
      <c r="F328" s="368">
        <f>SUM(D54:M54)</f>
        <v>43638532.872813858</v>
      </c>
      <c r="G328" s="270"/>
      <c r="H328" s="270"/>
      <c r="I328" s="270"/>
      <c r="J328" s="270"/>
      <c r="K328" s="270"/>
      <c r="L328" s="270"/>
      <c r="M328" s="270"/>
      <c r="N328" s="270"/>
      <c r="O328" s="270"/>
      <c r="P328" s="270"/>
      <c r="Q328" s="270"/>
    </row>
    <row r="329" spans="1:18" s="225" customFormat="1" x14ac:dyDescent="0.2">
      <c r="A329" s="270"/>
      <c r="B329" s="282" t="s">
        <v>452</v>
      </c>
      <c r="C329" s="357">
        <f>C327-C328</f>
        <v>2126131.3943839762</v>
      </c>
      <c r="D329" s="357">
        <f>D327-D328</f>
        <v>2008931.3943839762</v>
      </c>
      <c r="E329" s="357">
        <f>E327-E328</f>
        <v>9482703.4818750322</v>
      </c>
      <c r="F329" s="368">
        <f>F327-F328</f>
        <v>9482703.4818750322</v>
      </c>
      <c r="G329" s="270"/>
      <c r="H329" s="270"/>
      <c r="I329" s="270"/>
      <c r="J329" s="270"/>
      <c r="K329" s="270"/>
      <c r="L329" s="270"/>
      <c r="M329" s="270"/>
      <c r="N329" s="270"/>
      <c r="O329" s="270"/>
      <c r="P329" s="270"/>
      <c r="Q329" s="270"/>
    </row>
    <row r="330" spans="1:18" s="225" customFormat="1" x14ac:dyDescent="0.2">
      <c r="A330" s="270"/>
      <c r="B330" s="282"/>
      <c r="C330" s="81"/>
      <c r="D330" s="81"/>
      <c r="E330" s="81"/>
      <c r="F330" s="455"/>
      <c r="G330" s="270"/>
      <c r="H330" s="270"/>
      <c r="I330" s="270"/>
      <c r="J330" s="270"/>
      <c r="K330" s="270"/>
      <c r="L330" s="270"/>
      <c r="M330" s="270"/>
      <c r="N330" s="270"/>
      <c r="O330" s="270"/>
      <c r="P330" s="270"/>
      <c r="Q330" s="270"/>
    </row>
    <row r="331" spans="1:18" s="225" customFormat="1" x14ac:dyDescent="0.2">
      <c r="A331" s="270"/>
      <c r="B331" s="282" t="s">
        <v>353</v>
      </c>
      <c r="C331" s="357">
        <f>D110</f>
        <v>4230891.8600000003</v>
      </c>
      <c r="D331" s="357">
        <f>D215</f>
        <v>4165891.8600000003</v>
      </c>
      <c r="E331" s="357">
        <f>SUM(D110:G110)</f>
        <v>17659891.859999999</v>
      </c>
      <c r="F331" s="368">
        <f>SUM(D110:M110)</f>
        <v>17659891.859999999</v>
      </c>
      <c r="G331" s="270"/>
      <c r="H331" s="270"/>
      <c r="I331" s="270"/>
      <c r="J331" s="270"/>
      <c r="K331" s="270"/>
      <c r="L331" s="270"/>
      <c r="M331" s="270"/>
      <c r="N331" s="270"/>
      <c r="O331" s="270"/>
      <c r="P331" s="270"/>
      <c r="Q331" s="270"/>
    </row>
    <row r="332" spans="1:18" s="225" customFormat="1" x14ac:dyDescent="0.2">
      <c r="A332" s="270"/>
      <c r="B332" s="386"/>
      <c r="C332" s="129"/>
      <c r="D332" s="347"/>
      <c r="E332" s="347"/>
      <c r="F332" s="456"/>
      <c r="G332" s="270"/>
      <c r="H332" s="270"/>
      <c r="I332" s="270"/>
      <c r="J332" s="270"/>
      <c r="K332" s="270"/>
      <c r="L332" s="270"/>
      <c r="M332" s="270"/>
      <c r="N332" s="270"/>
      <c r="O332" s="270"/>
      <c r="P332" s="270"/>
      <c r="Q332" s="270"/>
    </row>
    <row r="333" spans="1:18" s="225" customFormat="1" x14ac:dyDescent="0.2">
      <c r="A333" s="270"/>
      <c r="B333" s="270"/>
      <c r="C333" s="270"/>
      <c r="D333" s="270"/>
      <c r="E333" s="270"/>
      <c r="F333" s="270"/>
      <c r="G333" s="270"/>
      <c r="H333" s="270"/>
      <c r="I333" s="270"/>
      <c r="J333" s="270"/>
      <c r="K333" s="270"/>
      <c r="L333" s="270"/>
      <c r="M333" s="270"/>
      <c r="N333" s="270"/>
      <c r="O333" s="270"/>
      <c r="P333" s="270"/>
      <c r="Q333" s="270"/>
      <c r="R333" s="270"/>
    </row>
    <row r="334" spans="1:18" s="225" customFormat="1" x14ac:dyDescent="0.2">
      <c r="A334" s="270"/>
      <c r="B334" s="270"/>
      <c r="C334" s="270"/>
      <c r="D334" s="270"/>
      <c r="E334" s="270"/>
      <c r="F334" s="270"/>
      <c r="G334" s="270"/>
      <c r="H334" s="270"/>
      <c r="I334" s="270"/>
      <c r="J334" s="270"/>
      <c r="K334" s="270"/>
      <c r="L334" s="270"/>
      <c r="M334" s="270"/>
      <c r="N334" s="270"/>
      <c r="O334" s="270"/>
      <c r="P334" s="270"/>
      <c r="Q334" s="270"/>
      <c r="R334" s="270"/>
    </row>
    <row r="335" spans="1:18" s="225" customFormat="1" ht="19.5" x14ac:dyDescent="0.25">
      <c r="A335" s="270"/>
      <c r="B335" s="338" t="s">
        <v>356</v>
      </c>
      <c r="C335" s="270"/>
      <c r="D335" s="270"/>
      <c r="E335" s="270"/>
      <c r="F335" s="270"/>
      <c r="G335" s="270"/>
      <c r="H335" s="270"/>
      <c r="I335" s="270"/>
      <c r="J335" s="270"/>
      <c r="K335" s="270"/>
      <c r="L335" s="270"/>
      <c r="M335" s="270"/>
      <c r="N335" s="270"/>
      <c r="O335" s="270"/>
      <c r="P335" s="270"/>
      <c r="Q335" s="270"/>
      <c r="R335" s="270"/>
    </row>
    <row r="336" spans="1:18" s="225" customFormat="1" x14ac:dyDescent="0.2">
      <c r="A336" s="270"/>
      <c r="B336" s="270"/>
      <c r="C336" s="270"/>
      <c r="D336" s="270"/>
      <c r="E336" s="270"/>
      <c r="F336" s="270"/>
      <c r="G336" s="270"/>
      <c r="H336" s="270"/>
      <c r="I336" s="270"/>
      <c r="J336" s="270"/>
      <c r="K336" s="270"/>
      <c r="L336" s="270"/>
      <c r="M336" s="270"/>
      <c r="N336" s="270"/>
      <c r="O336" s="270"/>
      <c r="P336" s="270"/>
      <c r="Q336" s="270"/>
      <c r="R336" s="270"/>
    </row>
    <row r="337" spans="1:18" s="225" customFormat="1" x14ac:dyDescent="0.2">
      <c r="A337" s="270"/>
      <c r="B337" s="270"/>
      <c r="C337" s="270"/>
      <c r="D337" s="270"/>
      <c r="E337" s="270"/>
      <c r="F337" s="270"/>
      <c r="G337" s="270"/>
      <c r="H337" s="270"/>
      <c r="I337" s="270"/>
      <c r="J337" s="270"/>
      <c r="K337" s="270"/>
      <c r="L337" s="270"/>
      <c r="M337" s="270"/>
      <c r="N337" s="270"/>
      <c r="O337" s="270"/>
      <c r="P337" s="270"/>
      <c r="Q337" s="270"/>
      <c r="R337" s="270"/>
    </row>
    <row r="338" spans="1:18" s="225" customFormat="1" x14ac:dyDescent="0.2">
      <c r="A338" s="270"/>
      <c r="B338" s="393"/>
      <c r="C338" s="407"/>
      <c r="D338" s="407"/>
      <c r="E338" s="407"/>
      <c r="F338" s="407"/>
      <c r="G338" s="408"/>
      <c r="H338" s="409"/>
      <c r="I338" s="407"/>
      <c r="J338" s="407"/>
      <c r="K338" s="407"/>
      <c r="L338" s="407"/>
      <c r="M338" s="408"/>
      <c r="N338" s="270"/>
      <c r="O338" s="270"/>
      <c r="P338" s="270"/>
      <c r="Q338" s="270"/>
      <c r="R338" s="270"/>
    </row>
    <row r="339" spans="1:18" s="225" customFormat="1" x14ac:dyDescent="0.2">
      <c r="A339" s="270"/>
      <c r="B339" s="336" t="s">
        <v>389</v>
      </c>
      <c r="C339" s="430"/>
      <c r="D339" s="430"/>
      <c r="E339" s="430"/>
      <c r="F339" s="430"/>
      <c r="G339" s="431"/>
      <c r="H339" s="432"/>
      <c r="I339" s="430"/>
      <c r="J339" s="430"/>
      <c r="K339" s="430"/>
      <c r="L339" s="430"/>
      <c r="M339" s="431"/>
      <c r="N339" s="270"/>
      <c r="O339" s="270"/>
      <c r="P339" s="270"/>
      <c r="Q339" s="270"/>
      <c r="R339" s="270"/>
    </row>
    <row r="340" spans="1:18" s="225" customFormat="1" x14ac:dyDescent="0.2">
      <c r="A340" s="270"/>
      <c r="B340" s="394" t="s">
        <v>370</v>
      </c>
      <c r="C340" s="667">
        <v>0</v>
      </c>
      <c r="D340" s="667">
        <v>0</v>
      </c>
      <c r="E340" s="667">
        <v>0</v>
      </c>
      <c r="F340" s="667">
        <v>0</v>
      </c>
      <c r="G340" s="668">
        <v>0</v>
      </c>
      <c r="H340" s="669"/>
      <c r="I340" s="667"/>
      <c r="J340" s="667"/>
      <c r="K340" s="667"/>
      <c r="L340" s="667"/>
      <c r="M340" s="668"/>
      <c r="N340" s="270"/>
      <c r="O340" s="270"/>
      <c r="P340" s="270"/>
      <c r="Q340" s="270"/>
      <c r="R340" s="270"/>
    </row>
    <row r="341" spans="1:18" s="225" customFormat="1" x14ac:dyDescent="0.2">
      <c r="A341" s="270"/>
      <c r="B341" s="394" t="s">
        <v>359</v>
      </c>
      <c r="C341" s="707">
        <v>5.0000000000000001E-3</v>
      </c>
      <c r="D341" s="707">
        <v>5.0000000000000001E-3</v>
      </c>
      <c r="E341" s="707">
        <v>5.0000000000000001E-3</v>
      </c>
      <c r="F341" s="707">
        <v>5.0000000000000001E-3</v>
      </c>
      <c r="G341" s="707">
        <v>5.0000000000000001E-3</v>
      </c>
      <c r="H341" s="422"/>
      <c r="I341" s="420"/>
      <c r="J341" s="420"/>
      <c r="K341" s="420"/>
      <c r="L341" s="420"/>
      <c r="M341" s="421"/>
      <c r="N341" s="270"/>
      <c r="O341" s="270"/>
      <c r="P341" s="270"/>
      <c r="Q341" s="270"/>
      <c r="R341" s="270"/>
    </row>
    <row r="342" spans="1:18" s="225" customFormat="1" x14ac:dyDescent="0.2">
      <c r="A342" s="270"/>
      <c r="B342" s="394" t="s">
        <v>358</v>
      </c>
      <c r="C342" s="707">
        <v>0</v>
      </c>
      <c r="D342" s="707">
        <v>0.02</v>
      </c>
      <c r="E342" s="707">
        <v>2.5000000000000001E-2</v>
      </c>
      <c r="F342" s="707">
        <v>2.5000000000000001E-2</v>
      </c>
      <c r="G342" s="708">
        <v>2.5000000000000001E-2</v>
      </c>
      <c r="H342" s="422"/>
      <c r="I342" s="420"/>
      <c r="J342" s="420"/>
      <c r="K342" s="420"/>
      <c r="L342" s="420"/>
      <c r="M342" s="421"/>
      <c r="N342" s="270"/>
      <c r="O342" s="270"/>
      <c r="P342" s="270"/>
      <c r="Q342" s="270"/>
      <c r="R342" s="270"/>
    </row>
    <row r="343" spans="1:18" s="225" customFormat="1" x14ac:dyDescent="0.2">
      <c r="A343" s="270"/>
      <c r="B343" s="394" t="s">
        <v>357</v>
      </c>
      <c r="C343" s="707">
        <v>0</v>
      </c>
      <c r="D343" s="707">
        <v>0.02</v>
      </c>
      <c r="E343" s="707">
        <v>0.02</v>
      </c>
      <c r="F343" s="709">
        <v>2.5000000000000001E-2</v>
      </c>
      <c r="G343" s="708">
        <v>2.5000000000000001E-2</v>
      </c>
      <c r="H343" s="422"/>
      <c r="I343" s="420"/>
      <c r="J343" s="420"/>
      <c r="K343" s="420"/>
      <c r="L343" s="420"/>
      <c r="M343" s="421"/>
      <c r="N343" s="270"/>
      <c r="O343" s="270"/>
      <c r="P343" s="270"/>
      <c r="Q343" s="270"/>
      <c r="R343" s="270"/>
    </row>
    <row r="344" spans="1:18" s="225" customFormat="1" x14ac:dyDescent="0.2">
      <c r="A344" s="270"/>
      <c r="B344" s="394" t="s">
        <v>360</v>
      </c>
      <c r="C344" s="707">
        <v>0</v>
      </c>
      <c r="D344" s="707">
        <v>0.02</v>
      </c>
      <c r="E344" s="707">
        <v>0.02</v>
      </c>
      <c r="F344" s="709">
        <v>0.02</v>
      </c>
      <c r="G344" s="708">
        <v>0.02</v>
      </c>
      <c r="H344" s="422"/>
      <c r="I344" s="420"/>
      <c r="J344" s="420"/>
      <c r="K344" s="420"/>
      <c r="L344" s="420"/>
      <c r="M344" s="421"/>
      <c r="N344" s="270"/>
      <c r="O344" s="270"/>
      <c r="P344" s="270"/>
      <c r="Q344" s="270"/>
      <c r="R344" s="270"/>
    </row>
    <row r="345" spans="1:18" s="225" customFormat="1" x14ac:dyDescent="0.2">
      <c r="A345" s="270"/>
      <c r="B345" s="394" t="s">
        <v>574</v>
      </c>
      <c r="C345" s="707">
        <v>0</v>
      </c>
      <c r="D345" s="707">
        <v>0.02</v>
      </c>
      <c r="E345" s="707">
        <v>2.5000000000000001E-2</v>
      </c>
      <c r="F345" s="709">
        <v>2.5000000000000001E-2</v>
      </c>
      <c r="G345" s="708">
        <v>2.5000000000000001E-2</v>
      </c>
      <c r="H345" s="422"/>
      <c r="I345" s="420"/>
      <c r="J345" s="420"/>
      <c r="K345" s="420"/>
      <c r="L345" s="420"/>
      <c r="M345" s="421"/>
      <c r="N345" s="270"/>
      <c r="O345" s="270"/>
      <c r="P345" s="270"/>
      <c r="Q345" s="270"/>
      <c r="R345" s="270"/>
    </row>
    <row r="346" spans="1:18" s="225" customFormat="1" x14ac:dyDescent="0.2">
      <c r="A346" s="270"/>
      <c r="B346" s="394" t="s">
        <v>575</v>
      </c>
      <c r="C346" s="707">
        <v>0</v>
      </c>
      <c r="D346" s="707">
        <v>0.02</v>
      </c>
      <c r="E346" s="707">
        <v>2.5000000000000001E-2</v>
      </c>
      <c r="F346" s="709">
        <v>2.5000000000000001E-2</v>
      </c>
      <c r="G346" s="708">
        <v>2.5000000000000001E-2</v>
      </c>
      <c r="H346" s="422"/>
      <c r="I346" s="420"/>
      <c r="J346" s="420"/>
      <c r="K346" s="420"/>
      <c r="L346" s="420"/>
      <c r="M346" s="421"/>
      <c r="N346" s="270"/>
      <c r="O346" s="270"/>
      <c r="P346" s="270"/>
      <c r="Q346" s="270"/>
      <c r="R346" s="270"/>
    </row>
    <row r="347" spans="1:18" s="225" customFormat="1" x14ac:dyDescent="0.2">
      <c r="A347" s="270"/>
      <c r="B347" s="394" t="s">
        <v>576</v>
      </c>
      <c r="C347" s="707">
        <v>0</v>
      </c>
      <c r="D347" s="707">
        <v>2.3900000000000001E-2</v>
      </c>
      <c r="E347" s="707">
        <v>2.3900000000000001E-2</v>
      </c>
      <c r="F347" s="709">
        <v>2.3900000000000001E-2</v>
      </c>
      <c r="G347" s="708">
        <v>2.3900000000000001E-2</v>
      </c>
      <c r="H347" s="422"/>
      <c r="I347" s="420"/>
      <c r="J347" s="420"/>
      <c r="K347" s="420"/>
      <c r="L347" s="420"/>
      <c r="M347" s="421"/>
      <c r="N347" s="270"/>
      <c r="O347" s="270"/>
      <c r="P347" s="270"/>
      <c r="Q347" s="270"/>
      <c r="R347" s="270"/>
    </row>
    <row r="348" spans="1:18" s="225" customFormat="1" x14ac:dyDescent="0.2">
      <c r="A348" s="270"/>
      <c r="B348" s="394" t="s">
        <v>577</v>
      </c>
      <c r="C348" s="707">
        <v>0</v>
      </c>
      <c r="D348" s="707">
        <v>3.1E-2</v>
      </c>
      <c r="E348" s="707">
        <v>3.1E-2</v>
      </c>
      <c r="F348" s="709">
        <v>3.1E-2</v>
      </c>
      <c r="G348" s="708">
        <v>3.1E-2</v>
      </c>
      <c r="H348" s="422"/>
      <c r="I348" s="420"/>
      <c r="J348" s="420"/>
      <c r="K348" s="420"/>
      <c r="L348" s="420"/>
      <c r="M348" s="421"/>
      <c r="N348" s="270"/>
      <c r="O348" s="270"/>
      <c r="P348" s="270"/>
      <c r="Q348" s="270"/>
      <c r="R348" s="270"/>
    </row>
    <row r="349" spans="1:18" s="225" customFormat="1" x14ac:dyDescent="0.2">
      <c r="A349" s="270"/>
      <c r="B349" s="394" t="s">
        <v>578</v>
      </c>
      <c r="C349" s="707">
        <v>0</v>
      </c>
      <c r="D349" s="707">
        <v>3.1399999999999997E-2</v>
      </c>
      <c r="E349" s="707">
        <v>3.1399999999999997E-2</v>
      </c>
      <c r="F349" s="709">
        <v>3.1399999999999997E-2</v>
      </c>
      <c r="G349" s="708">
        <v>3.1399999999999997E-2</v>
      </c>
      <c r="H349" s="422"/>
      <c r="I349" s="420"/>
      <c r="J349" s="420"/>
      <c r="K349" s="420"/>
      <c r="L349" s="420"/>
      <c r="M349" s="421"/>
      <c r="N349" s="270"/>
      <c r="O349" s="270"/>
      <c r="P349" s="270"/>
      <c r="Q349" s="270"/>
      <c r="R349" s="270"/>
    </row>
    <row r="350" spans="1:18" s="225" customFormat="1" x14ac:dyDescent="0.2">
      <c r="A350" s="270"/>
      <c r="B350" s="394" t="s">
        <v>579</v>
      </c>
      <c r="C350" s="707">
        <v>0</v>
      </c>
      <c r="D350" s="707">
        <v>0.02</v>
      </c>
      <c r="E350" s="707">
        <v>0.02</v>
      </c>
      <c r="F350" s="709">
        <v>0.02</v>
      </c>
      <c r="G350" s="708">
        <v>0.02</v>
      </c>
      <c r="H350" s="422"/>
      <c r="I350" s="420"/>
      <c r="J350" s="420"/>
      <c r="K350" s="420"/>
      <c r="L350" s="420"/>
      <c r="M350" s="421"/>
      <c r="N350" s="270"/>
      <c r="O350" s="270"/>
      <c r="P350" s="270"/>
      <c r="Q350" s="270"/>
      <c r="R350" s="270"/>
    </row>
    <row r="351" spans="1:18" s="225" customFormat="1" x14ac:dyDescent="0.2">
      <c r="A351" s="270"/>
      <c r="B351" s="394" t="s">
        <v>580</v>
      </c>
      <c r="C351" s="707">
        <v>0</v>
      </c>
      <c r="D351" s="707">
        <v>0.05</v>
      </c>
      <c r="E351" s="707">
        <v>0.05</v>
      </c>
      <c r="F351" s="709">
        <v>0.05</v>
      </c>
      <c r="G351" s="708">
        <v>0.05</v>
      </c>
      <c r="H351" s="422"/>
      <c r="I351" s="420"/>
      <c r="J351" s="420"/>
      <c r="K351" s="420"/>
      <c r="L351" s="420"/>
      <c r="M351" s="421"/>
      <c r="N351" s="270"/>
      <c r="O351" s="270"/>
      <c r="P351" s="270"/>
      <c r="Q351" s="270"/>
      <c r="R351" s="270"/>
    </row>
    <row r="352" spans="1:18" s="225" customFormat="1" x14ac:dyDescent="0.2">
      <c r="A352" s="270"/>
      <c r="B352" s="394" t="s">
        <v>581</v>
      </c>
      <c r="C352" s="707">
        <v>0</v>
      </c>
      <c r="D352" s="707">
        <v>0.02</v>
      </c>
      <c r="E352" s="707">
        <v>2.5000000000000001E-2</v>
      </c>
      <c r="F352" s="709">
        <v>2.5000000000000001E-2</v>
      </c>
      <c r="G352" s="708">
        <v>2.5000000000000001E-2</v>
      </c>
      <c r="H352" s="422"/>
      <c r="I352" s="420"/>
      <c r="J352" s="420"/>
      <c r="K352" s="420"/>
      <c r="L352" s="420"/>
      <c r="M352" s="421"/>
      <c r="N352" s="270"/>
      <c r="O352" s="270"/>
      <c r="P352" s="270"/>
      <c r="Q352" s="270"/>
      <c r="R352" s="270"/>
    </row>
    <row r="353" spans="1:18" s="225" customFormat="1" x14ac:dyDescent="0.2">
      <c r="A353" s="270"/>
      <c r="B353" s="394" t="s">
        <v>582</v>
      </c>
      <c r="C353" s="707">
        <v>0</v>
      </c>
      <c r="D353" s="707">
        <v>0.02</v>
      </c>
      <c r="E353" s="707">
        <v>2.5000000000000001E-2</v>
      </c>
      <c r="F353" s="709">
        <v>2.5000000000000001E-2</v>
      </c>
      <c r="G353" s="708">
        <v>2.5000000000000001E-2</v>
      </c>
      <c r="H353" s="422"/>
      <c r="I353" s="420"/>
      <c r="J353" s="420"/>
      <c r="K353" s="420"/>
      <c r="L353" s="420"/>
      <c r="M353" s="421"/>
      <c r="N353" s="270"/>
      <c r="O353" s="270"/>
      <c r="P353" s="270"/>
      <c r="Q353" s="270"/>
      <c r="R353" s="270"/>
    </row>
    <row r="354" spans="1:18" s="225" customFormat="1" x14ac:dyDescent="0.2">
      <c r="A354" s="270"/>
      <c r="B354" s="394" t="s">
        <v>583</v>
      </c>
      <c r="C354" s="707">
        <v>0</v>
      </c>
      <c r="D354" s="707">
        <v>0.02</v>
      </c>
      <c r="E354" s="707">
        <v>2.5000000000000001E-2</v>
      </c>
      <c r="F354" s="709">
        <v>2.5000000000000001E-2</v>
      </c>
      <c r="G354" s="708">
        <v>2.5000000000000001E-2</v>
      </c>
      <c r="H354" s="422"/>
      <c r="I354" s="420"/>
      <c r="J354" s="420"/>
      <c r="K354" s="420"/>
      <c r="L354" s="420"/>
      <c r="M354" s="421"/>
      <c r="N354" s="270"/>
      <c r="O354" s="270"/>
      <c r="P354" s="270"/>
      <c r="Q354" s="270"/>
      <c r="R354" s="270"/>
    </row>
    <row r="355" spans="1:18" s="225" customFormat="1" x14ac:dyDescent="0.2">
      <c r="A355" s="270"/>
      <c r="B355" s="394" t="s">
        <v>584</v>
      </c>
      <c r="C355" s="707">
        <v>0</v>
      </c>
      <c r="D355" s="707">
        <v>0.02</v>
      </c>
      <c r="E355" s="707">
        <v>2.5000000000000001E-2</v>
      </c>
      <c r="F355" s="709">
        <v>2.5000000000000001E-2</v>
      </c>
      <c r="G355" s="708">
        <v>2.5000000000000001E-2</v>
      </c>
      <c r="H355" s="422"/>
      <c r="I355" s="420"/>
      <c r="J355" s="420"/>
      <c r="K355" s="420"/>
      <c r="L355" s="420"/>
      <c r="M355" s="421"/>
      <c r="N355" s="270"/>
      <c r="O355" s="270"/>
      <c r="P355" s="270"/>
      <c r="Q355" s="270"/>
      <c r="R355" s="270"/>
    </row>
    <row r="356" spans="1:18" s="225" customFormat="1" x14ac:dyDescent="0.2">
      <c r="A356" s="270"/>
      <c r="B356" s="394" t="s">
        <v>585</v>
      </c>
      <c r="C356" s="707">
        <v>0</v>
      </c>
      <c r="D356" s="707">
        <v>-6.8199999999999997E-2</v>
      </c>
      <c r="E356" s="707">
        <v>2.5000000000000001E-2</v>
      </c>
      <c r="F356" s="709">
        <v>2.5000000000000001E-2</v>
      </c>
      <c r="G356" s="708">
        <v>2.5000000000000001E-2</v>
      </c>
      <c r="H356" s="422"/>
      <c r="I356" s="420"/>
      <c r="J356" s="420"/>
      <c r="K356" s="420"/>
      <c r="L356" s="420"/>
      <c r="M356" s="421"/>
      <c r="N356" s="270"/>
      <c r="O356" s="270"/>
      <c r="P356" s="270"/>
      <c r="Q356" s="270"/>
      <c r="R356" s="270"/>
    </row>
    <row r="357" spans="1:18" s="225" customFormat="1" x14ac:dyDescent="0.2">
      <c r="A357" s="270"/>
      <c r="B357" s="394"/>
      <c r="C357" s="395"/>
      <c r="D357" s="395"/>
      <c r="E357" s="395"/>
      <c r="F357" s="420"/>
      <c r="G357" s="421"/>
      <c r="H357" s="422"/>
      <c r="I357" s="420"/>
      <c r="J357" s="420"/>
      <c r="K357" s="420"/>
      <c r="L357" s="420"/>
      <c r="M357" s="421"/>
      <c r="N357" s="270"/>
      <c r="O357" s="270"/>
      <c r="P357" s="270"/>
      <c r="Q357" s="270"/>
      <c r="R357" s="270"/>
    </row>
    <row r="358" spans="1:18" s="225" customFormat="1" x14ac:dyDescent="0.2">
      <c r="A358" s="270"/>
      <c r="B358" s="394"/>
      <c r="C358" s="395"/>
      <c r="D358" s="395"/>
      <c r="E358" s="395"/>
      <c r="F358" s="420"/>
      <c r="G358" s="421"/>
      <c r="H358" s="422"/>
      <c r="I358" s="420"/>
      <c r="J358" s="420"/>
      <c r="K358" s="420"/>
      <c r="L358" s="420"/>
      <c r="M358" s="421"/>
      <c r="N358" s="270"/>
      <c r="O358" s="270"/>
      <c r="P358" s="270"/>
      <c r="Q358" s="270"/>
      <c r="R358" s="270"/>
    </row>
    <row r="359" spans="1:18" s="225" customFormat="1" x14ac:dyDescent="0.2">
      <c r="A359" s="270"/>
      <c r="B359" s="394"/>
      <c r="C359" s="395"/>
      <c r="D359" s="395"/>
      <c r="E359" s="395"/>
      <c r="F359" s="420"/>
      <c r="G359" s="421"/>
      <c r="H359" s="422"/>
      <c r="I359" s="420"/>
      <c r="J359" s="420"/>
      <c r="K359" s="420"/>
      <c r="L359" s="420"/>
      <c r="M359" s="421"/>
      <c r="N359" s="270"/>
      <c r="O359" s="270"/>
      <c r="P359" s="270"/>
      <c r="Q359" s="270"/>
      <c r="R359" s="270"/>
    </row>
    <row r="360" spans="1:18" s="225" customFormat="1" x14ac:dyDescent="0.2">
      <c r="A360" s="270"/>
      <c r="B360" s="394"/>
      <c r="C360" s="395"/>
      <c r="D360" s="395"/>
      <c r="E360" s="395"/>
      <c r="F360" s="420"/>
      <c r="G360" s="421"/>
      <c r="H360" s="422"/>
      <c r="I360" s="420"/>
      <c r="J360" s="420"/>
      <c r="K360" s="420"/>
      <c r="L360" s="420"/>
      <c r="M360" s="421"/>
      <c r="N360" s="270"/>
      <c r="O360" s="270"/>
      <c r="P360" s="270"/>
      <c r="Q360" s="270"/>
      <c r="R360" s="270"/>
    </row>
    <row r="361" spans="1:18" s="225" customFormat="1" x14ac:dyDescent="0.2">
      <c r="A361" s="270"/>
      <c r="B361" s="394"/>
      <c r="C361" s="395"/>
      <c r="D361" s="395"/>
      <c r="E361" s="395"/>
      <c r="F361" s="420"/>
      <c r="G361" s="421"/>
      <c r="H361" s="422"/>
      <c r="I361" s="420"/>
      <c r="J361" s="420"/>
      <c r="K361" s="420"/>
      <c r="L361" s="420"/>
      <c r="M361" s="421"/>
      <c r="N361" s="270"/>
      <c r="O361" s="270"/>
      <c r="P361" s="270"/>
      <c r="Q361" s="270"/>
      <c r="R361" s="270"/>
    </row>
    <row r="362" spans="1:18" s="225" customFormat="1" x14ac:dyDescent="0.2">
      <c r="A362" s="270"/>
      <c r="B362" s="394"/>
      <c r="C362" s="395"/>
      <c r="D362" s="395"/>
      <c r="E362" s="395"/>
      <c r="F362" s="420"/>
      <c r="G362" s="421"/>
      <c r="H362" s="422"/>
      <c r="I362" s="420"/>
      <c r="J362" s="420"/>
      <c r="K362" s="420"/>
      <c r="L362" s="420"/>
      <c r="M362" s="421"/>
      <c r="N362" s="270"/>
      <c r="O362" s="270"/>
      <c r="P362" s="270"/>
      <c r="Q362" s="270"/>
      <c r="R362" s="270"/>
    </row>
    <row r="363" spans="1:18" s="225" customFormat="1" x14ac:dyDescent="0.2">
      <c r="A363" s="270"/>
      <c r="B363" s="394"/>
      <c r="C363" s="395"/>
      <c r="D363" s="395"/>
      <c r="E363" s="395"/>
      <c r="F363" s="420"/>
      <c r="G363" s="421"/>
      <c r="H363" s="422"/>
      <c r="I363" s="420"/>
      <c r="J363" s="420"/>
      <c r="K363" s="420"/>
      <c r="L363" s="420"/>
      <c r="M363" s="421"/>
      <c r="N363" s="270"/>
      <c r="O363" s="270"/>
      <c r="P363" s="270"/>
      <c r="Q363" s="270"/>
      <c r="R363" s="270"/>
    </row>
    <row r="364" spans="1:18" s="225" customFormat="1" x14ac:dyDescent="0.2">
      <c r="A364" s="270"/>
      <c r="B364" s="394"/>
      <c r="C364" s="395"/>
      <c r="D364" s="395"/>
      <c r="E364" s="395"/>
      <c r="F364" s="420"/>
      <c r="G364" s="421"/>
      <c r="H364" s="422"/>
      <c r="I364" s="420"/>
      <c r="J364" s="420"/>
      <c r="K364" s="420"/>
      <c r="L364" s="420"/>
      <c r="M364" s="421"/>
      <c r="N364" s="270"/>
      <c r="O364" s="270"/>
      <c r="P364" s="270"/>
      <c r="Q364" s="270"/>
      <c r="R364" s="270"/>
    </row>
    <row r="365" spans="1:18" s="225" customFormat="1" x14ac:dyDescent="0.2">
      <c r="A365" s="270"/>
      <c r="B365" s="394"/>
      <c r="C365" s="395"/>
      <c r="D365" s="395"/>
      <c r="E365" s="395"/>
      <c r="F365" s="420"/>
      <c r="G365" s="421"/>
      <c r="H365" s="422"/>
      <c r="I365" s="420"/>
      <c r="J365" s="420"/>
      <c r="K365" s="420"/>
      <c r="L365" s="420"/>
      <c r="M365" s="421"/>
      <c r="N365" s="270"/>
      <c r="O365" s="270"/>
      <c r="P365" s="270"/>
      <c r="Q365" s="270"/>
      <c r="R365" s="270"/>
    </row>
    <row r="366" spans="1:18" s="225" customFormat="1" x14ac:dyDescent="0.2">
      <c r="A366" s="270"/>
      <c r="B366" s="394"/>
      <c r="C366" s="395"/>
      <c r="D366" s="395"/>
      <c r="E366" s="395"/>
      <c r="F366" s="420"/>
      <c r="G366" s="421"/>
      <c r="H366" s="422"/>
      <c r="I366" s="420"/>
      <c r="J366" s="420"/>
      <c r="K366" s="420"/>
      <c r="L366" s="420"/>
      <c r="M366" s="421"/>
      <c r="N366" s="270"/>
      <c r="O366" s="270"/>
      <c r="P366" s="270"/>
      <c r="Q366" s="270"/>
      <c r="R366" s="270"/>
    </row>
    <row r="367" spans="1:18" s="225" customFormat="1" x14ac:dyDescent="0.2">
      <c r="A367" s="270"/>
      <c r="B367" s="394"/>
      <c r="C367" s="395"/>
      <c r="D367" s="395"/>
      <c r="E367" s="395"/>
      <c r="F367" s="420"/>
      <c r="G367" s="421"/>
      <c r="H367" s="422"/>
      <c r="I367" s="420"/>
      <c r="J367" s="420"/>
      <c r="K367" s="420"/>
      <c r="L367" s="420"/>
      <c r="M367" s="421"/>
      <c r="N367" s="270"/>
      <c r="O367" s="270"/>
      <c r="P367" s="270"/>
      <c r="Q367" s="270"/>
      <c r="R367" s="270"/>
    </row>
    <row r="368" spans="1:18" s="225" customFormat="1" x14ac:dyDescent="0.2">
      <c r="A368" s="270"/>
      <c r="B368" s="487"/>
      <c r="C368" s="347"/>
      <c r="D368" s="347"/>
      <c r="E368" s="347"/>
      <c r="F368" s="347"/>
      <c r="G368" s="347"/>
      <c r="H368" s="347"/>
      <c r="I368" s="347"/>
      <c r="J368" s="347"/>
      <c r="K368" s="347"/>
      <c r="L368" s="347"/>
      <c r="M368" s="348"/>
      <c r="N368" s="270"/>
      <c r="O368" s="270"/>
      <c r="P368" s="270"/>
      <c r="Q368" s="270"/>
      <c r="R368" s="270"/>
    </row>
    <row r="369" spans="1:18" s="225" customFormat="1" x14ac:dyDescent="0.2">
      <c r="A369" s="270"/>
      <c r="B369" s="270"/>
      <c r="C369" s="270"/>
      <c r="D369" s="270"/>
      <c r="E369" s="270"/>
      <c r="F369" s="270"/>
      <c r="G369" s="270"/>
      <c r="H369" s="270"/>
      <c r="I369" s="270"/>
      <c r="J369" s="270"/>
      <c r="K369" s="270"/>
      <c r="L369" s="270"/>
      <c r="M369" s="270"/>
      <c r="N369" s="270"/>
      <c r="O369" s="270"/>
      <c r="P369" s="270"/>
      <c r="Q369" s="270"/>
      <c r="R369" s="270"/>
    </row>
    <row r="370" spans="1:18" s="225" customFormat="1" x14ac:dyDescent="0.2">
      <c r="A370" s="270"/>
      <c r="B370" s="270"/>
      <c r="C370" s="270"/>
      <c r="D370" s="270"/>
      <c r="E370" s="270"/>
      <c r="F370" s="270"/>
      <c r="G370" s="270"/>
      <c r="H370" s="270"/>
      <c r="I370" s="270"/>
      <c r="J370" s="270"/>
      <c r="K370" s="270"/>
      <c r="L370" s="270"/>
      <c r="M370" s="270"/>
      <c r="N370" s="270"/>
      <c r="O370" s="270"/>
      <c r="P370" s="270"/>
      <c r="Q370" s="270"/>
      <c r="R370" s="270"/>
    </row>
    <row r="371" spans="1:18" s="225" customFormat="1" ht="19.5" x14ac:dyDescent="0.25">
      <c r="A371" s="270"/>
      <c r="B371" s="338" t="s">
        <v>329</v>
      </c>
      <c r="C371" s="270"/>
      <c r="D371" s="270"/>
      <c r="E371" s="270"/>
      <c r="F371" s="270"/>
      <c r="G371" s="270"/>
      <c r="H371" s="270"/>
      <c r="I371" s="270"/>
      <c r="J371" s="270"/>
      <c r="K371" s="270"/>
      <c r="L371" s="270"/>
      <c r="M371" s="270"/>
      <c r="N371" s="270"/>
      <c r="O371" s="270"/>
      <c r="P371" s="270"/>
      <c r="Q371" s="270"/>
      <c r="R371" s="270"/>
    </row>
    <row r="372" spans="1:18" s="225" customFormat="1" ht="19.5" x14ac:dyDescent="0.25">
      <c r="A372" s="270"/>
      <c r="B372" s="338"/>
      <c r="C372" s="270"/>
      <c r="D372" s="270"/>
      <c r="E372" s="270"/>
      <c r="F372" s="270"/>
      <c r="G372" s="270"/>
      <c r="H372" s="270"/>
      <c r="I372" s="270"/>
      <c r="J372" s="270"/>
      <c r="K372" s="270"/>
      <c r="L372" s="270"/>
      <c r="M372" s="270"/>
      <c r="N372" s="270"/>
      <c r="O372" s="270"/>
      <c r="P372" s="270"/>
      <c r="Q372" s="270"/>
      <c r="R372" s="270"/>
    </row>
    <row r="373" spans="1:18" s="225" customFormat="1" x14ac:dyDescent="0.2">
      <c r="A373" s="270"/>
      <c r="B373" s="393" t="s">
        <v>317</v>
      </c>
      <c r="C373" s="407"/>
      <c r="D373" s="407"/>
      <c r="E373" s="407"/>
      <c r="F373" s="407"/>
      <c r="G373" s="407"/>
      <c r="H373" s="409"/>
      <c r="I373" s="407"/>
      <c r="J373" s="407"/>
      <c r="K373" s="407"/>
      <c r="L373" s="407"/>
      <c r="M373" s="408"/>
      <c r="N373" s="271"/>
      <c r="O373" s="273"/>
      <c r="P373" s="270"/>
      <c r="Q373" s="274"/>
      <c r="R373" s="274"/>
    </row>
    <row r="374" spans="1:18" s="225" customFormat="1" x14ac:dyDescent="0.2">
      <c r="A374" s="270"/>
      <c r="B374" s="389" t="s">
        <v>318</v>
      </c>
      <c r="C374" s="390"/>
      <c r="D374" s="390"/>
      <c r="E374" s="390"/>
      <c r="F374" s="410"/>
      <c r="G374" s="410"/>
      <c r="H374" s="412"/>
      <c r="I374" s="410"/>
      <c r="J374" s="410"/>
      <c r="K374" s="410"/>
      <c r="L374" s="410"/>
      <c r="M374" s="411"/>
      <c r="N374" s="271"/>
      <c r="O374" s="273"/>
      <c r="P374" s="270"/>
      <c r="Q374" s="274"/>
      <c r="R374" s="274"/>
    </row>
    <row r="375" spans="1:18" s="225" customFormat="1" x14ac:dyDescent="0.2">
      <c r="A375" s="270"/>
      <c r="B375" s="388" t="s">
        <v>326</v>
      </c>
      <c r="C375" s="467">
        <f t="shared" ref="C375:M375" si="62">IFERROR(C68/C86,"")</f>
        <v>2.4856013551665725</v>
      </c>
      <c r="D375" s="467">
        <f t="shared" si="62"/>
        <v>1.9746015936254979</v>
      </c>
      <c r="E375" s="467">
        <f t="shared" si="62"/>
        <v>1.2310679611650486</v>
      </c>
      <c r="F375" s="468">
        <f t="shared" si="62"/>
        <v>1.3280170122275385</v>
      </c>
      <c r="G375" s="469">
        <f t="shared" si="62"/>
        <v>1.3132593766508187</v>
      </c>
      <c r="H375" s="470" t="str">
        <f t="shared" si="62"/>
        <v/>
      </c>
      <c r="I375" s="468" t="str">
        <f t="shared" si="62"/>
        <v/>
      </c>
      <c r="J375" s="468" t="str">
        <f t="shared" si="62"/>
        <v/>
      </c>
      <c r="K375" s="468" t="str">
        <f t="shared" si="62"/>
        <v/>
      </c>
      <c r="L375" s="468" t="str">
        <f t="shared" si="62"/>
        <v/>
      </c>
      <c r="M375" s="471" t="str">
        <f t="shared" si="62"/>
        <v/>
      </c>
      <c r="N375" s="271"/>
      <c r="O375" s="273"/>
      <c r="P375" s="270"/>
      <c r="Q375" s="274"/>
      <c r="R375" s="274"/>
    </row>
    <row r="376" spans="1:18" s="225" customFormat="1" x14ac:dyDescent="0.2">
      <c r="A376" s="270"/>
      <c r="B376" s="388" t="s">
        <v>327</v>
      </c>
      <c r="C376" s="467">
        <f>IFERROR(C173/C191,"")</f>
        <v>2.4856013551665725</v>
      </c>
      <c r="D376" s="467">
        <f>IFERROR(D173/D191,"")</f>
        <v>2.000597609561753</v>
      </c>
      <c r="E376" s="472"/>
      <c r="F376" s="472"/>
      <c r="G376" s="472"/>
      <c r="H376" s="473" t="str">
        <f t="shared" ref="H376:M376" si="63">IFERROR(H173/H191,"")</f>
        <v/>
      </c>
      <c r="I376" s="472" t="str">
        <f t="shared" si="63"/>
        <v/>
      </c>
      <c r="J376" s="472" t="str">
        <f t="shared" si="63"/>
        <v/>
      </c>
      <c r="K376" s="472" t="str">
        <f t="shared" si="63"/>
        <v/>
      </c>
      <c r="L376" s="472" t="str">
        <f t="shared" si="63"/>
        <v/>
      </c>
      <c r="M376" s="474" t="str">
        <f t="shared" si="63"/>
        <v/>
      </c>
      <c r="N376" s="271"/>
      <c r="O376" s="273"/>
      <c r="P376" s="270"/>
      <c r="Q376" s="274"/>
      <c r="R376" s="274"/>
    </row>
    <row r="377" spans="1:18" s="225" customFormat="1" x14ac:dyDescent="0.2">
      <c r="A377" s="270"/>
      <c r="B377" s="388" t="s">
        <v>328</v>
      </c>
      <c r="C377" s="467">
        <f>IFERROR(C375-C376,"")</f>
        <v>0</v>
      </c>
      <c r="D377" s="467">
        <f>IFERROR(D375-D376,"")</f>
        <v>-2.5996015936255112E-2</v>
      </c>
      <c r="E377" s="475"/>
      <c r="F377" s="476"/>
      <c r="G377" s="472"/>
      <c r="H377" s="473"/>
      <c r="I377" s="472"/>
      <c r="J377" s="472"/>
      <c r="K377" s="472"/>
      <c r="L377" s="472"/>
      <c r="M377" s="474"/>
      <c r="N377" s="271"/>
      <c r="O377" s="273"/>
      <c r="P377" s="270"/>
      <c r="Q377" s="274"/>
      <c r="R377" s="274"/>
    </row>
    <row r="378" spans="1:18" s="225" customFormat="1" x14ac:dyDescent="0.2">
      <c r="A378" s="270"/>
      <c r="B378" s="266" t="s">
        <v>319</v>
      </c>
      <c r="C378" s="477"/>
      <c r="D378" s="477"/>
      <c r="E378" s="444"/>
      <c r="F378" s="478"/>
      <c r="G378" s="478"/>
      <c r="H378" s="479"/>
      <c r="I378" s="478"/>
      <c r="J378" s="478"/>
      <c r="K378" s="478"/>
      <c r="L378" s="478"/>
      <c r="M378" s="480"/>
      <c r="N378" s="271"/>
      <c r="O378" s="273"/>
      <c r="P378" s="270"/>
      <c r="Q378" s="274"/>
      <c r="R378" s="274"/>
    </row>
    <row r="379" spans="1:18" s="225" customFormat="1" x14ac:dyDescent="0.2">
      <c r="A379" s="270"/>
      <c r="B379" s="388" t="s">
        <v>326</v>
      </c>
      <c r="C379" s="467">
        <f t="shared" ref="C379:M379" si="64">IFERROR(C63/C86,"")</f>
        <v>1.2761151891586675</v>
      </c>
      <c r="D379" s="467">
        <f t="shared" si="64"/>
        <v>1.0841633466135459</v>
      </c>
      <c r="E379" s="467">
        <f t="shared" si="64"/>
        <v>0.98174757281553393</v>
      </c>
      <c r="F379" s="467">
        <f t="shared" si="64"/>
        <v>0.98670919723551298</v>
      </c>
      <c r="G379" s="484">
        <f t="shared" si="64"/>
        <v>0.97411516111991547</v>
      </c>
      <c r="H379" s="485" t="str">
        <f t="shared" si="64"/>
        <v/>
      </c>
      <c r="I379" s="467" t="str">
        <f t="shared" si="64"/>
        <v/>
      </c>
      <c r="J379" s="467" t="str">
        <f t="shared" si="64"/>
        <v/>
      </c>
      <c r="K379" s="467" t="str">
        <f t="shared" si="64"/>
        <v/>
      </c>
      <c r="L379" s="467" t="str">
        <f t="shared" si="64"/>
        <v/>
      </c>
      <c r="M379" s="486" t="str">
        <f t="shared" si="64"/>
        <v/>
      </c>
      <c r="N379" s="271"/>
      <c r="O379" s="273"/>
      <c r="P379" s="270"/>
      <c r="Q379" s="274"/>
      <c r="R379" s="274"/>
    </row>
    <row r="380" spans="1:18" s="225" customFormat="1" x14ac:dyDescent="0.2">
      <c r="A380" s="270"/>
      <c r="B380" s="388" t="s">
        <v>327</v>
      </c>
      <c r="C380" s="467">
        <f t="shared" ref="C380:M380" si="65">IFERROR(C168/C191,"")</f>
        <v>1.2761151891586675</v>
      </c>
      <c r="D380" s="467">
        <f t="shared" si="65"/>
        <v>1.1101593625498007</v>
      </c>
      <c r="E380" s="472" t="str">
        <f t="shared" si="65"/>
        <v/>
      </c>
      <c r="F380" s="472" t="str">
        <f t="shared" si="65"/>
        <v/>
      </c>
      <c r="G380" s="472" t="str">
        <f t="shared" si="65"/>
        <v/>
      </c>
      <c r="H380" s="473" t="str">
        <f t="shared" si="65"/>
        <v/>
      </c>
      <c r="I380" s="472" t="str">
        <f t="shared" si="65"/>
        <v/>
      </c>
      <c r="J380" s="472" t="str">
        <f t="shared" si="65"/>
        <v/>
      </c>
      <c r="K380" s="472" t="str">
        <f t="shared" si="65"/>
        <v/>
      </c>
      <c r="L380" s="472" t="str">
        <f t="shared" si="65"/>
        <v/>
      </c>
      <c r="M380" s="474" t="str">
        <f t="shared" si="65"/>
        <v/>
      </c>
      <c r="N380" s="271"/>
      <c r="O380" s="273"/>
      <c r="P380" s="270"/>
      <c r="Q380" s="274"/>
      <c r="R380" s="274"/>
    </row>
    <row r="381" spans="1:18" s="225" customFormat="1" x14ac:dyDescent="0.2">
      <c r="A381" s="270"/>
      <c r="B381" s="388" t="s">
        <v>328</v>
      </c>
      <c r="C381" s="467">
        <f t="shared" ref="C381:M381" si="66">IFERROR(C379-C380,"")</f>
        <v>0</v>
      </c>
      <c r="D381" s="467">
        <f t="shared" si="66"/>
        <v>-2.599601593625489E-2</v>
      </c>
      <c r="E381" s="475" t="str">
        <f t="shared" si="66"/>
        <v/>
      </c>
      <c r="F381" s="476" t="str">
        <f t="shared" si="66"/>
        <v/>
      </c>
      <c r="G381" s="472" t="str">
        <f t="shared" si="66"/>
        <v/>
      </c>
      <c r="H381" s="473" t="str">
        <f t="shared" si="66"/>
        <v/>
      </c>
      <c r="I381" s="472" t="str">
        <f t="shared" si="66"/>
        <v/>
      </c>
      <c r="J381" s="472" t="str">
        <f t="shared" si="66"/>
        <v/>
      </c>
      <c r="K381" s="472" t="str">
        <f t="shared" si="66"/>
        <v/>
      </c>
      <c r="L381" s="472" t="str">
        <f t="shared" si="66"/>
        <v/>
      </c>
      <c r="M381" s="474" t="str">
        <f t="shared" si="66"/>
        <v/>
      </c>
      <c r="N381" s="271"/>
      <c r="O381" s="273"/>
      <c r="P381" s="270"/>
      <c r="Q381" s="274"/>
      <c r="R381" s="274"/>
    </row>
    <row r="382" spans="1:18" s="225" customFormat="1" x14ac:dyDescent="0.2">
      <c r="A382" s="270"/>
      <c r="B382" s="387"/>
      <c r="C382" s="444"/>
      <c r="D382" s="444"/>
      <c r="E382" s="444"/>
      <c r="F382" s="472"/>
      <c r="G382" s="472"/>
      <c r="H382" s="473"/>
      <c r="I382" s="472"/>
      <c r="J382" s="472"/>
      <c r="K382" s="472"/>
      <c r="L382" s="472"/>
      <c r="M382" s="474"/>
      <c r="N382" s="271"/>
      <c r="O382" s="273"/>
      <c r="P382" s="270"/>
      <c r="Q382" s="274"/>
      <c r="R382" s="274"/>
    </row>
    <row r="383" spans="1:18" s="225" customFormat="1" x14ac:dyDescent="0.2">
      <c r="A383" s="270"/>
      <c r="B383" s="336" t="s">
        <v>320</v>
      </c>
      <c r="C383" s="475"/>
      <c r="D383" s="476"/>
      <c r="E383" s="472"/>
      <c r="F383" s="472"/>
      <c r="G383" s="472"/>
      <c r="H383" s="473"/>
      <c r="I383" s="472"/>
      <c r="J383" s="472"/>
      <c r="K383" s="472"/>
      <c r="L383" s="472"/>
      <c r="M383" s="474"/>
      <c r="N383" s="271"/>
      <c r="O383" s="273"/>
      <c r="P383" s="270"/>
      <c r="Q383" s="274"/>
      <c r="R383" s="274"/>
    </row>
    <row r="384" spans="1:18" s="225" customFormat="1" x14ac:dyDescent="0.2">
      <c r="A384" s="270"/>
      <c r="B384" s="389" t="s">
        <v>321</v>
      </c>
      <c r="C384" s="481"/>
      <c r="D384" s="481"/>
      <c r="E384" s="481"/>
      <c r="F384" s="478"/>
      <c r="G384" s="478"/>
      <c r="H384" s="479"/>
      <c r="I384" s="478"/>
      <c r="J384" s="478"/>
      <c r="K384" s="478"/>
      <c r="L384" s="478"/>
      <c r="M384" s="480"/>
      <c r="N384" s="271"/>
      <c r="O384" s="273"/>
      <c r="P384" s="270"/>
      <c r="Q384" s="274"/>
      <c r="R384" s="274"/>
    </row>
    <row r="385" spans="1:18" s="225" customFormat="1" x14ac:dyDescent="0.2">
      <c r="A385" s="270"/>
      <c r="B385" s="388" t="s">
        <v>326</v>
      </c>
      <c r="C385" s="467">
        <f t="shared" ref="C385:M385" si="67">IFERROR(C106/C47,"")</f>
        <v>0.75937316453654014</v>
      </c>
      <c r="D385" s="467">
        <f t="shared" si="67"/>
        <v>1.2883885280332363</v>
      </c>
      <c r="E385" s="467">
        <f t="shared" si="67"/>
        <v>3.5145945228994946</v>
      </c>
      <c r="F385" s="468">
        <f t="shared" si="67"/>
        <v>0.5575542840827965</v>
      </c>
      <c r="G385" s="469">
        <f t="shared" si="67"/>
        <v>0.86037440794608933</v>
      </c>
      <c r="H385" s="470" t="str">
        <f t="shared" si="67"/>
        <v/>
      </c>
      <c r="I385" s="468" t="str">
        <f t="shared" si="67"/>
        <v/>
      </c>
      <c r="J385" s="468" t="str">
        <f t="shared" si="67"/>
        <v/>
      </c>
      <c r="K385" s="468" t="str">
        <f t="shared" si="67"/>
        <v/>
      </c>
      <c r="L385" s="468" t="str">
        <f t="shared" si="67"/>
        <v/>
      </c>
      <c r="M385" s="471" t="str">
        <f t="shared" si="67"/>
        <v/>
      </c>
      <c r="N385" s="271"/>
      <c r="O385" s="273"/>
      <c r="P385" s="270"/>
      <c r="Q385" s="274"/>
      <c r="R385" s="274"/>
    </row>
    <row r="386" spans="1:18" s="225" customFormat="1" x14ac:dyDescent="0.2">
      <c r="A386" s="270"/>
      <c r="B386" s="388" t="s">
        <v>327</v>
      </c>
      <c r="C386" s="467">
        <f t="shared" ref="C386:M386" si="68">IFERROR(C211/C152,"")</f>
        <v>0.75937316453654014</v>
      </c>
      <c r="D386" s="467">
        <f t="shared" si="68"/>
        <v>1.259138969111069</v>
      </c>
      <c r="E386" s="472" t="str">
        <f t="shared" si="68"/>
        <v/>
      </c>
      <c r="F386" s="472" t="str">
        <f t="shared" si="68"/>
        <v/>
      </c>
      <c r="G386" s="472" t="str">
        <f t="shared" si="68"/>
        <v/>
      </c>
      <c r="H386" s="473" t="str">
        <f t="shared" si="68"/>
        <v/>
      </c>
      <c r="I386" s="472" t="str">
        <f t="shared" si="68"/>
        <v/>
      </c>
      <c r="J386" s="472" t="str">
        <f t="shared" si="68"/>
        <v/>
      </c>
      <c r="K386" s="472" t="str">
        <f t="shared" si="68"/>
        <v/>
      </c>
      <c r="L386" s="472" t="str">
        <f t="shared" si="68"/>
        <v/>
      </c>
      <c r="M386" s="474" t="str">
        <f t="shared" si="68"/>
        <v/>
      </c>
      <c r="N386" s="271"/>
      <c r="O386" s="273"/>
      <c r="P386" s="270"/>
      <c r="Q386" s="274"/>
      <c r="R386" s="274"/>
    </row>
    <row r="387" spans="1:18" s="225" customFormat="1" x14ac:dyDescent="0.2">
      <c r="A387" s="270"/>
      <c r="B387" s="388" t="s">
        <v>328</v>
      </c>
      <c r="C387" s="467">
        <f>IFERROR(C385-C386,"")</f>
        <v>0</v>
      </c>
      <c r="D387" s="467">
        <f>IFERROR(D385-D386,"")</f>
        <v>2.9249558922167296E-2</v>
      </c>
      <c r="E387" s="472"/>
      <c r="F387" s="472"/>
      <c r="G387" s="472" t="str">
        <f t="shared" ref="G387:M387" si="69">IFERROR(G385-G386,"")</f>
        <v/>
      </c>
      <c r="H387" s="473" t="str">
        <f t="shared" si="69"/>
        <v/>
      </c>
      <c r="I387" s="472" t="str">
        <f t="shared" si="69"/>
        <v/>
      </c>
      <c r="J387" s="472" t="str">
        <f t="shared" si="69"/>
        <v/>
      </c>
      <c r="K387" s="472" t="str">
        <f t="shared" si="69"/>
        <v/>
      </c>
      <c r="L387" s="472" t="str">
        <f t="shared" si="69"/>
        <v/>
      </c>
      <c r="M387" s="474" t="str">
        <f t="shared" si="69"/>
        <v/>
      </c>
      <c r="N387" s="271"/>
      <c r="O387" s="273"/>
      <c r="P387" s="270"/>
      <c r="Q387" s="274"/>
      <c r="R387" s="274"/>
    </row>
    <row r="388" spans="1:18" s="225" customFormat="1" x14ac:dyDescent="0.2">
      <c r="A388" s="270"/>
      <c r="B388" s="266" t="s">
        <v>322</v>
      </c>
      <c r="C388" s="482"/>
      <c r="D388" s="483"/>
      <c r="E388" s="472"/>
      <c r="F388" s="472"/>
      <c r="G388" s="472"/>
      <c r="H388" s="473"/>
      <c r="I388" s="472"/>
      <c r="J388" s="472"/>
      <c r="K388" s="472"/>
      <c r="L388" s="472"/>
      <c r="M388" s="474"/>
      <c r="N388" s="271"/>
      <c r="O388" s="273"/>
      <c r="P388" s="270"/>
      <c r="Q388" s="274"/>
      <c r="R388" s="274"/>
    </row>
    <row r="389" spans="1:18" s="225" customFormat="1" x14ac:dyDescent="0.2">
      <c r="A389" s="270"/>
      <c r="B389" s="388" t="s">
        <v>326</v>
      </c>
      <c r="C389" s="467">
        <f t="shared" ref="C389:M389" si="70">IFERROR((C85+C91)/C23,"")</f>
        <v>1.1019703244093376E-2</v>
      </c>
      <c r="D389" s="467">
        <f t="shared" si="70"/>
        <v>3.2317019662893298E-2</v>
      </c>
      <c r="E389" s="467">
        <f t="shared" si="70"/>
        <v>6.5797598257337581E-2</v>
      </c>
      <c r="F389" s="468">
        <f t="shared" si="70"/>
        <v>9.4264899229546437E-2</v>
      </c>
      <c r="G389" s="469">
        <f t="shared" si="70"/>
        <v>8.2966303299679522E-2</v>
      </c>
      <c r="H389" s="470" t="str">
        <f t="shared" si="70"/>
        <v/>
      </c>
      <c r="I389" s="468" t="str">
        <f t="shared" si="70"/>
        <v/>
      </c>
      <c r="J389" s="468" t="str">
        <f t="shared" si="70"/>
        <v/>
      </c>
      <c r="K389" s="468" t="str">
        <f t="shared" si="70"/>
        <v/>
      </c>
      <c r="L389" s="468" t="str">
        <f t="shared" si="70"/>
        <v/>
      </c>
      <c r="M389" s="471" t="str">
        <f t="shared" si="70"/>
        <v/>
      </c>
      <c r="N389" s="271"/>
      <c r="O389" s="273"/>
      <c r="P389" s="270"/>
      <c r="Q389" s="274"/>
      <c r="R389" s="274"/>
    </row>
    <row r="390" spans="1:18" s="225" customFormat="1" x14ac:dyDescent="0.2">
      <c r="A390" s="270"/>
      <c r="B390" s="388" t="s">
        <v>327</v>
      </c>
      <c r="C390" s="467">
        <f t="shared" ref="C390:M390" si="71">IFERROR((C189+C196)/(C128),"")</f>
        <v>1.5721443294906549E-2</v>
      </c>
      <c r="D390" s="467">
        <f t="shared" si="71"/>
        <v>3.3441489925482112E-2</v>
      </c>
      <c r="E390" s="472" t="str">
        <f t="shared" si="71"/>
        <v/>
      </c>
      <c r="F390" s="472" t="str">
        <f t="shared" si="71"/>
        <v/>
      </c>
      <c r="G390" s="472" t="str">
        <f t="shared" si="71"/>
        <v/>
      </c>
      <c r="H390" s="473" t="str">
        <f t="shared" si="71"/>
        <v/>
      </c>
      <c r="I390" s="472" t="str">
        <f t="shared" si="71"/>
        <v/>
      </c>
      <c r="J390" s="472" t="str">
        <f t="shared" si="71"/>
        <v/>
      </c>
      <c r="K390" s="472" t="str">
        <f t="shared" si="71"/>
        <v/>
      </c>
      <c r="L390" s="472" t="str">
        <f t="shared" si="71"/>
        <v/>
      </c>
      <c r="M390" s="474" t="str">
        <f t="shared" si="71"/>
        <v/>
      </c>
      <c r="N390" s="271"/>
      <c r="O390" s="273"/>
      <c r="P390" s="270"/>
      <c r="Q390" s="274"/>
      <c r="R390" s="274"/>
    </row>
    <row r="391" spans="1:18" s="225" customFormat="1" x14ac:dyDescent="0.2">
      <c r="A391" s="270"/>
      <c r="B391" s="388" t="s">
        <v>328</v>
      </c>
      <c r="C391" s="467">
        <f t="shared" ref="C391:M391" si="72">IFERROR(C389-C390,"")</f>
        <v>-4.7017400508131725E-3</v>
      </c>
      <c r="D391" s="467">
        <f t="shared" si="72"/>
        <v>-1.1244702625888142E-3</v>
      </c>
      <c r="E391" s="475" t="str">
        <f t="shared" si="72"/>
        <v/>
      </c>
      <c r="F391" s="476" t="str">
        <f t="shared" si="72"/>
        <v/>
      </c>
      <c r="G391" s="472" t="str">
        <f t="shared" si="72"/>
        <v/>
      </c>
      <c r="H391" s="473" t="str">
        <f t="shared" si="72"/>
        <v/>
      </c>
      <c r="I391" s="472" t="str">
        <f t="shared" si="72"/>
        <v/>
      </c>
      <c r="J391" s="472" t="str">
        <f t="shared" si="72"/>
        <v/>
      </c>
      <c r="K391" s="472" t="str">
        <f t="shared" si="72"/>
        <v/>
      </c>
      <c r="L391" s="472" t="str">
        <f t="shared" si="72"/>
        <v/>
      </c>
      <c r="M391" s="474" t="str">
        <f t="shared" si="72"/>
        <v/>
      </c>
      <c r="N391" s="271"/>
      <c r="O391" s="273"/>
      <c r="P391" s="270"/>
      <c r="Q391" s="274"/>
      <c r="R391" s="274"/>
    </row>
    <row r="392" spans="1:18" s="225" customFormat="1" x14ac:dyDescent="0.2">
      <c r="A392" s="270"/>
      <c r="B392" s="266" t="s">
        <v>323</v>
      </c>
      <c r="C392" s="482"/>
      <c r="D392" s="483"/>
      <c r="E392" s="478"/>
      <c r="F392" s="478"/>
      <c r="G392" s="478"/>
      <c r="H392" s="479"/>
      <c r="I392" s="478"/>
      <c r="J392" s="478"/>
      <c r="K392" s="478"/>
      <c r="L392" s="478"/>
      <c r="M392" s="480"/>
      <c r="N392" s="271"/>
      <c r="O392" s="273"/>
      <c r="P392" s="270"/>
      <c r="Q392" s="274"/>
      <c r="R392" s="274"/>
    </row>
    <row r="393" spans="1:18" s="225" customFormat="1" x14ac:dyDescent="0.2">
      <c r="A393" s="270"/>
      <c r="B393" s="388" t="s">
        <v>326</v>
      </c>
      <c r="C393" s="467">
        <f>IFERROR(C92/(C40-C26-C29-C32-C35-C36-C37-C38),"")</f>
        <v>6.9760268466812379E-3</v>
      </c>
      <c r="D393" s="467">
        <f>IFERROR(D92/(D40-D26-D29-D32-D35-D36-D37-D38),"")</f>
        <v>2.3433549453970227E-2</v>
      </c>
      <c r="E393" s="467">
        <f t="shared" ref="E393:M393" si="73">IFERROR(E92/(E40-E26-E29-E32-E35-E36-E37-E38),"")</f>
        <v>5.1123355058870272E-2</v>
      </c>
      <c r="F393" s="467">
        <f t="shared" si="73"/>
        <v>7.0752408960142801E-2</v>
      </c>
      <c r="G393" s="467">
        <f t="shared" si="73"/>
        <v>6.2228373894231116E-2</v>
      </c>
      <c r="H393" s="467" t="str">
        <f t="shared" si="73"/>
        <v/>
      </c>
      <c r="I393" s="467" t="str">
        <f t="shared" si="73"/>
        <v/>
      </c>
      <c r="J393" s="467" t="str">
        <f t="shared" si="73"/>
        <v/>
      </c>
      <c r="K393" s="467" t="str">
        <f t="shared" si="73"/>
        <v/>
      </c>
      <c r="L393" s="467" t="str">
        <f t="shared" si="73"/>
        <v/>
      </c>
      <c r="M393" s="467" t="str">
        <f t="shared" si="73"/>
        <v/>
      </c>
      <c r="N393" s="271"/>
      <c r="O393" s="273"/>
      <c r="P393" s="270"/>
      <c r="Q393" s="274"/>
      <c r="R393" s="274"/>
    </row>
    <row r="394" spans="1:18" s="225" customFormat="1" x14ac:dyDescent="0.2">
      <c r="A394" s="270"/>
      <c r="B394" s="388" t="s">
        <v>327</v>
      </c>
      <c r="C394" s="467">
        <f>IFERROR(C197/(C145-C131-C134-C137-C140-C141-C142-C143),"")</f>
        <v>6.9760268466812379E-3</v>
      </c>
      <c r="D394" s="467">
        <f>IFERROR(D197/(D145-D131-D134-D137-D140-D141-D142-D143),"")</f>
        <v>2.3811260584877807E-2</v>
      </c>
      <c r="E394" s="472" t="str">
        <f t="shared" ref="E394:M394" si="74">IFERROR(E197/(E145-E131-E134-E137-E140-E155-E156-E157),"")</f>
        <v/>
      </c>
      <c r="F394" s="472" t="str">
        <f t="shared" si="74"/>
        <v/>
      </c>
      <c r="G394" s="472" t="str">
        <f t="shared" si="74"/>
        <v/>
      </c>
      <c r="H394" s="473" t="str">
        <f t="shared" si="74"/>
        <v/>
      </c>
      <c r="I394" s="472" t="str">
        <f t="shared" si="74"/>
        <v/>
      </c>
      <c r="J394" s="472" t="str">
        <f t="shared" si="74"/>
        <v/>
      </c>
      <c r="K394" s="472" t="str">
        <f t="shared" si="74"/>
        <v/>
      </c>
      <c r="L394" s="472" t="str">
        <f t="shared" si="74"/>
        <v/>
      </c>
      <c r="M394" s="474" t="str">
        <f t="shared" si="74"/>
        <v/>
      </c>
      <c r="N394" s="271"/>
      <c r="O394" s="273"/>
      <c r="P394" s="270"/>
      <c r="Q394" s="274"/>
      <c r="R394" s="274"/>
    </row>
    <row r="395" spans="1:18" s="225" customFormat="1" x14ac:dyDescent="0.2">
      <c r="A395" s="270"/>
      <c r="B395" s="388" t="s">
        <v>328</v>
      </c>
      <c r="C395" s="467">
        <f t="shared" ref="C395:M395" si="75">IFERROR(C393-C394,"")</f>
        <v>0</v>
      </c>
      <c r="D395" s="467">
        <f t="shared" si="75"/>
        <v>-3.7771113090757924E-4</v>
      </c>
      <c r="E395" s="475" t="str">
        <f t="shared" si="75"/>
        <v/>
      </c>
      <c r="F395" s="476" t="str">
        <f t="shared" si="75"/>
        <v/>
      </c>
      <c r="G395" s="472" t="str">
        <f t="shared" si="75"/>
        <v/>
      </c>
      <c r="H395" s="473" t="str">
        <f t="shared" si="75"/>
        <v/>
      </c>
      <c r="I395" s="472" t="str">
        <f t="shared" si="75"/>
        <v/>
      </c>
      <c r="J395" s="472" t="str">
        <f t="shared" si="75"/>
        <v/>
      </c>
      <c r="K395" s="472" t="str">
        <f t="shared" si="75"/>
        <v/>
      </c>
      <c r="L395" s="472" t="str">
        <f t="shared" si="75"/>
        <v/>
      </c>
      <c r="M395" s="474" t="str">
        <f t="shared" si="75"/>
        <v/>
      </c>
      <c r="N395" s="271"/>
      <c r="O395" s="273"/>
      <c r="P395" s="270"/>
      <c r="Q395" s="274"/>
      <c r="R395" s="274"/>
    </row>
    <row r="396" spans="1:18" s="225" customFormat="1" x14ac:dyDescent="0.2">
      <c r="A396" s="270"/>
      <c r="B396" s="387"/>
      <c r="C396" s="81"/>
      <c r="D396" s="54"/>
      <c r="E396" s="95"/>
      <c r="F396" s="95"/>
      <c r="G396" s="95"/>
      <c r="H396" s="414"/>
      <c r="I396" s="95"/>
      <c r="J396" s="95"/>
      <c r="K396" s="95"/>
      <c r="L396" s="95"/>
      <c r="M396" s="413"/>
      <c r="N396" s="271"/>
      <c r="O396" s="273"/>
      <c r="P396" s="270"/>
      <c r="Q396" s="274"/>
      <c r="R396" s="274"/>
    </row>
    <row r="397" spans="1:18" s="225" customFormat="1" x14ac:dyDescent="0.2">
      <c r="A397" s="270"/>
      <c r="B397" s="336" t="s">
        <v>324</v>
      </c>
      <c r="C397" s="81"/>
      <c r="D397" s="54"/>
      <c r="E397" s="95"/>
      <c r="F397" s="95"/>
      <c r="G397" s="95"/>
      <c r="H397" s="414"/>
      <c r="I397" s="95"/>
      <c r="J397" s="95"/>
      <c r="K397" s="95"/>
      <c r="L397" s="95"/>
      <c r="M397" s="413"/>
      <c r="N397" s="271"/>
      <c r="O397" s="273"/>
      <c r="P397" s="270"/>
      <c r="Q397" s="274"/>
      <c r="R397" s="274"/>
    </row>
    <row r="398" spans="1:18" s="225" customFormat="1" x14ac:dyDescent="0.2">
      <c r="A398" s="270"/>
      <c r="B398" s="389" t="s">
        <v>325</v>
      </c>
      <c r="C398" s="415"/>
      <c r="D398" s="416"/>
      <c r="E398" s="410"/>
      <c r="F398" s="410"/>
      <c r="G398" s="410"/>
      <c r="H398" s="412"/>
      <c r="I398" s="410"/>
      <c r="J398" s="410"/>
      <c r="K398" s="410"/>
      <c r="L398" s="410"/>
      <c r="M398" s="411"/>
      <c r="N398" s="271"/>
      <c r="O398" s="273"/>
      <c r="P398" s="270"/>
      <c r="Q398" s="274"/>
      <c r="R398" s="274"/>
    </row>
    <row r="399" spans="1:18" s="225" customFormat="1" x14ac:dyDescent="0.2">
      <c r="A399" s="270"/>
      <c r="B399" s="388" t="s">
        <v>326</v>
      </c>
      <c r="C399" s="406">
        <f t="shared" ref="C399:M399" si="76">IFERROR((C40-C54-C31-C35-C34)/(C40-C31-C35-C34-C50-C51-C52),"")</f>
        <v>-2.361746613561945E-2</v>
      </c>
      <c r="D399" s="406">
        <f t="shared" si="76"/>
        <v>-4.7382577950397561E-2</v>
      </c>
      <c r="E399" s="406">
        <f t="shared" si="76"/>
        <v>-7.2374144004045737E-2</v>
      </c>
      <c r="F399" s="417">
        <f t="shared" si="76"/>
        <v>-2.3855457314761748E-2</v>
      </c>
      <c r="G399" s="457">
        <f t="shared" si="76"/>
        <v>-1.1694847837880103E-2</v>
      </c>
      <c r="H399" s="419" t="str">
        <f t="shared" si="76"/>
        <v/>
      </c>
      <c r="I399" s="417" t="str">
        <f t="shared" si="76"/>
        <v/>
      </c>
      <c r="J399" s="417" t="str">
        <f t="shared" si="76"/>
        <v/>
      </c>
      <c r="K399" s="417" t="str">
        <f t="shared" si="76"/>
        <v/>
      </c>
      <c r="L399" s="417" t="str">
        <f t="shared" si="76"/>
        <v/>
      </c>
      <c r="M399" s="418" t="str">
        <f t="shared" si="76"/>
        <v/>
      </c>
      <c r="N399" s="271"/>
      <c r="O399" s="273"/>
      <c r="P399" s="270"/>
      <c r="Q399" s="274"/>
      <c r="R399" s="274"/>
    </row>
    <row r="400" spans="1:18" s="225" customFormat="1" x14ac:dyDescent="0.2">
      <c r="A400" s="270"/>
      <c r="B400" s="388" t="s">
        <v>327</v>
      </c>
      <c r="C400" s="406">
        <f t="shared" ref="C400:M400" si="77">IFERROR((C145-C159-C136-C140-C139)/(C145-C139-C136-C140-C155-C156-C157),"")</f>
        <v>-2.361746613561945E-2</v>
      </c>
      <c r="D400" s="406">
        <f t="shared" si="77"/>
        <v>-5.8959457574679769E-2</v>
      </c>
      <c r="E400" s="458" t="str">
        <f t="shared" si="77"/>
        <v/>
      </c>
      <c r="F400" s="458" t="str">
        <f t="shared" si="77"/>
        <v/>
      </c>
      <c r="G400" s="458" t="str">
        <f t="shared" si="77"/>
        <v/>
      </c>
      <c r="H400" s="459" t="str">
        <f t="shared" si="77"/>
        <v/>
      </c>
      <c r="I400" s="458" t="str">
        <f t="shared" si="77"/>
        <v/>
      </c>
      <c r="J400" s="458" t="str">
        <f t="shared" si="77"/>
        <v/>
      </c>
      <c r="K400" s="458" t="str">
        <f t="shared" si="77"/>
        <v/>
      </c>
      <c r="L400" s="458" t="str">
        <f t="shared" si="77"/>
        <v/>
      </c>
      <c r="M400" s="460" t="str">
        <f t="shared" si="77"/>
        <v/>
      </c>
      <c r="N400" s="271"/>
      <c r="O400" s="273"/>
      <c r="P400" s="270"/>
      <c r="Q400" s="274"/>
      <c r="R400" s="274"/>
    </row>
    <row r="401" spans="1:18" s="225" customFormat="1" x14ac:dyDescent="0.2">
      <c r="A401" s="270"/>
      <c r="B401" s="391" t="s">
        <v>328</v>
      </c>
      <c r="C401" s="461">
        <f t="shared" ref="C401:M401" si="78">IFERROR(C399-C400,"")</f>
        <v>0</v>
      </c>
      <c r="D401" s="461">
        <f t="shared" si="78"/>
        <v>1.1576879624282208E-2</v>
      </c>
      <c r="E401" s="462" t="str">
        <f t="shared" si="78"/>
        <v/>
      </c>
      <c r="F401" s="463" t="str">
        <f t="shared" si="78"/>
        <v/>
      </c>
      <c r="G401" s="464" t="str">
        <f t="shared" si="78"/>
        <v/>
      </c>
      <c r="H401" s="465" t="str">
        <f t="shared" si="78"/>
        <v/>
      </c>
      <c r="I401" s="464" t="str">
        <f t="shared" si="78"/>
        <v/>
      </c>
      <c r="J401" s="464" t="str">
        <f t="shared" si="78"/>
        <v/>
      </c>
      <c r="K401" s="464" t="str">
        <f t="shared" si="78"/>
        <v/>
      </c>
      <c r="L401" s="464" t="str">
        <f t="shared" si="78"/>
        <v/>
      </c>
      <c r="M401" s="466" t="str">
        <f t="shared" si="78"/>
        <v/>
      </c>
      <c r="N401" s="271"/>
      <c r="O401" s="273"/>
      <c r="P401" s="270"/>
      <c r="Q401" s="274"/>
      <c r="R401" s="274"/>
    </row>
    <row r="402" spans="1:18" s="225" customFormat="1" x14ac:dyDescent="0.2">
      <c r="A402" s="270"/>
      <c r="B402" s="270"/>
      <c r="C402" s="280"/>
      <c r="D402" s="281"/>
      <c r="E402" s="271"/>
      <c r="F402" s="271"/>
      <c r="G402" s="271"/>
      <c r="H402" s="271"/>
      <c r="I402" s="271"/>
      <c r="J402" s="271"/>
      <c r="K402" s="271"/>
      <c r="L402" s="271"/>
      <c r="M402" s="271"/>
      <c r="N402" s="271"/>
      <c r="O402" s="273"/>
      <c r="P402" s="270"/>
      <c r="Q402" s="274"/>
      <c r="R402" s="274"/>
    </row>
    <row r="403" spans="1:18" s="225" customFormat="1" x14ac:dyDescent="0.2">
      <c r="A403" s="270"/>
      <c r="B403" s="270"/>
      <c r="C403" s="270"/>
      <c r="D403" s="270"/>
      <c r="E403" s="270"/>
      <c r="F403" s="270"/>
      <c r="G403" s="270"/>
      <c r="H403" s="270"/>
      <c r="I403" s="270"/>
      <c r="J403" s="270"/>
      <c r="K403" s="270"/>
      <c r="L403" s="270"/>
      <c r="M403" s="270"/>
      <c r="N403" s="270"/>
      <c r="O403" s="270"/>
      <c r="P403" s="270"/>
      <c r="Q403" s="270"/>
      <c r="R403" s="270"/>
    </row>
    <row r="404" spans="1:18" s="225" customFormat="1" x14ac:dyDescent="0.2">
      <c r="A404" s="270"/>
      <c r="B404" s="270"/>
      <c r="C404" s="270"/>
      <c r="D404" s="270"/>
      <c r="E404" s="270"/>
      <c r="F404" s="270"/>
      <c r="G404" s="270"/>
      <c r="H404" s="270"/>
      <c r="I404" s="270"/>
      <c r="J404" s="270"/>
      <c r="K404" s="270"/>
      <c r="L404" s="270"/>
      <c r="M404" s="270"/>
      <c r="N404" s="270"/>
      <c r="O404" s="270"/>
      <c r="P404" s="270"/>
      <c r="Q404" s="270"/>
      <c r="R404" s="270"/>
    </row>
    <row r="405" spans="1:18" s="225" customFormat="1" x14ac:dyDescent="0.2">
      <c r="A405" s="270"/>
      <c r="B405" s="270"/>
      <c r="C405" s="280"/>
      <c r="D405" s="281"/>
      <c r="E405" s="271"/>
      <c r="F405" s="271"/>
      <c r="G405" s="271"/>
      <c r="H405" s="271"/>
      <c r="I405" s="271"/>
      <c r="J405" s="271"/>
      <c r="K405" s="271"/>
      <c r="L405" s="271"/>
      <c r="M405" s="271"/>
      <c r="N405" s="271"/>
      <c r="O405" s="273"/>
      <c r="P405" s="270"/>
      <c r="Q405" s="274"/>
      <c r="R405" s="274"/>
    </row>
    <row r="406" spans="1:18" s="225" customFormat="1" x14ac:dyDescent="0.2">
      <c r="A406" s="270"/>
      <c r="B406" s="270"/>
      <c r="C406" s="280"/>
      <c r="D406" s="281"/>
      <c r="E406" s="271"/>
      <c r="F406" s="271"/>
      <c r="G406" s="271"/>
      <c r="H406" s="271"/>
      <c r="I406" s="271"/>
      <c r="J406" s="271"/>
      <c r="K406" s="271"/>
      <c r="L406" s="271"/>
      <c r="M406" s="271"/>
      <c r="N406" s="271"/>
      <c r="O406" s="273"/>
      <c r="P406" s="270"/>
      <c r="Q406" s="274"/>
      <c r="R406" s="274"/>
    </row>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hidden="1" x14ac:dyDescent="0.2"/>
    <row r="589" spans="1:18" hidden="1" x14ac:dyDescent="0.2"/>
    <row r="590" spans="1:18" hidden="1" x14ac:dyDescent="0.2"/>
    <row r="591" spans="1:18" s="225" customFormat="1" hidden="1" x14ac:dyDescent="0.2">
      <c r="A591" s="270"/>
      <c r="B591" s="270"/>
      <c r="C591" s="280"/>
      <c r="D591" s="281"/>
      <c r="E591" s="271"/>
      <c r="F591" s="271"/>
      <c r="G591" s="271"/>
      <c r="H591" s="271"/>
      <c r="I591" s="271"/>
      <c r="J591" s="271"/>
      <c r="K591" s="271"/>
      <c r="L591" s="271"/>
      <c r="M591" s="271"/>
      <c r="N591" s="271"/>
      <c r="O591" s="273"/>
      <c r="Q591" s="230"/>
      <c r="R591" s="230"/>
    </row>
    <row r="592" spans="1:18" s="225" customFormat="1" hidden="1" x14ac:dyDescent="0.2">
      <c r="A592" s="270"/>
      <c r="B592" s="270"/>
      <c r="C592" s="280"/>
      <c r="D592" s="281"/>
      <c r="E592" s="271"/>
      <c r="F592" s="271"/>
      <c r="G592" s="271"/>
      <c r="H592" s="271"/>
      <c r="I592" s="271"/>
      <c r="J592" s="271"/>
      <c r="K592" s="271"/>
      <c r="L592" s="271"/>
      <c r="M592" s="271"/>
      <c r="N592" s="271"/>
      <c r="O592" s="273"/>
      <c r="Q592" s="230"/>
      <c r="R592" s="230"/>
    </row>
    <row r="593" spans="1:18" s="225" customFormat="1" hidden="1" x14ac:dyDescent="0.2">
      <c r="A593" s="270"/>
      <c r="B593" s="270"/>
      <c r="C593" s="280"/>
      <c r="D593" s="281"/>
      <c r="E593" s="271"/>
      <c r="F593" s="271"/>
      <c r="G593" s="271"/>
      <c r="H593" s="271"/>
      <c r="I593" s="271"/>
      <c r="J593" s="271"/>
      <c r="K593" s="271"/>
      <c r="L593" s="271"/>
      <c r="M593" s="271"/>
      <c r="N593" s="271"/>
      <c r="O593" s="273"/>
      <c r="Q593" s="230"/>
      <c r="R593" s="230"/>
    </row>
    <row r="594" spans="1:18" s="225" customFormat="1" hidden="1" x14ac:dyDescent="0.2">
      <c r="A594" s="270"/>
      <c r="B594" s="270"/>
      <c r="C594" s="280"/>
      <c r="D594" s="281"/>
      <c r="E594" s="271"/>
      <c r="F594" s="271"/>
      <c r="G594" s="271"/>
      <c r="H594" s="271"/>
      <c r="I594" s="271"/>
      <c r="J594" s="271"/>
      <c r="K594" s="271"/>
      <c r="L594" s="271"/>
      <c r="M594" s="271"/>
      <c r="N594" s="271"/>
      <c r="O594" s="273"/>
      <c r="Q594" s="230"/>
      <c r="R594" s="230"/>
    </row>
    <row r="595" spans="1:18" s="225" customFormat="1" hidden="1" x14ac:dyDescent="0.2">
      <c r="A595" s="270"/>
      <c r="B595" s="270"/>
      <c r="C595" s="280"/>
      <c r="D595" s="281"/>
      <c r="E595" s="271"/>
      <c r="F595" s="271"/>
      <c r="G595" s="271"/>
      <c r="H595" s="271"/>
      <c r="I595" s="271"/>
      <c r="J595" s="271"/>
      <c r="K595" s="271"/>
      <c r="L595" s="271"/>
      <c r="M595" s="271"/>
      <c r="N595" s="271"/>
      <c r="O595" s="273"/>
      <c r="Q595" s="230"/>
      <c r="R595" s="230"/>
    </row>
    <row r="596" spans="1:18" s="225" customFormat="1" hidden="1" x14ac:dyDescent="0.2">
      <c r="A596" s="270"/>
      <c r="B596" s="270"/>
      <c r="C596" s="280"/>
      <c r="D596" s="281"/>
      <c r="E596" s="271"/>
      <c r="F596" s="271"/>
      <c r="G596" s="271"/>
      <c r="H596" s="271"/>
      <c r="I596" s="271"/>
      <c r="J596" s="271"/>
      <c r="K596" s="271"/>
      <c r="L596" s="271"/>
      <c r="M596" s="271"/>
      <c r="N596" s="271"/>
      <c r="O596" s="273"/>
      <c r="Q596" s="230"/>
      <c r="R596" s="230"/>
    </row>
    <row r="597" spans="1:18" s="225" customFormat="1" hidden="1" x14ac:dyDescent="0.2">
      <c r="A597" s="270"/>
      <c r="B597" s="270"/>
      <c r="C597" s="280"/>
      <c r="D597" s="281"/>
      <c r="E597" s="271"/>
      <c r="F597" s="271"/>
      <c r="G597" s="271"/>
      <c r="H597" s="271"/>
      <c r="I597" s="271"/>
      <c r="J597" s="271"/>
      <c r="K597" s="271"/>
      <c r="L597" s="271"/>
      <c r="M597" s="271"/>
      <c r="N597" s="271"/>
      <c r="O597" s="273"/>
      <c r="Q597" s="230"/>
      <c r="R597" s="230"/>
    </row>
    <row r="598" spans="1:18" s="225" customFormat="1" hidden="1" x14ac:dyDescent="0.2">
      <c r="A598" s="270"/>
      <c r="B598" s="270"/>
      <c r="C598" s="280"/>
      <c r="D598" s="281"/>
      <c r="E598" s="271"/>
      <c r="F598" s="271"/>
      <c r="G598" s="271"/>
      <c r="H598" s="271"/>
      <c r="I598" s="271"/>
      <c r="J598" s="271"/>
      <c r="K598" s="271"/>
      <c r="L598" s="271"/>
      <c r="M598" s="271"/>
      <c r="N598" s="271"/>
      <c r="O598" s="273"/>
      <c r="Q598" s="230"/>
      <c r="R598" s="230"/>
    </row>
    <row r="599" spans="1:18" s="225" customFormat="1" hidden="1" x14ac:dyDescent="0.2">
      <c r="A599" s="270"/>
      <c r="B599" s="270"/>
      <c r="C599" s="280"/>
      <c r="D599" s="281"/>
      <c r="E599" s="271"/>
      <c r="F599" s="271"/>
      <c r="G599" s="271"/>
      <c r="H599" s="271"/>
      <c r="I599" s="271"/>
      <c r="J599" s="271"/>
      <c r="K599" s="271"/>
      <c r="L599" s="271"/>
      <c r="M599" s="271"/>
      <c r="N599" s="271"/>
      <c r="O599" s="273"/>
      <c r="Q599" s="230"/>
      <c r="R599" s="230"/>
    </row>
    <row r="600" spans="1:18" s="225" customFormat="1" hidden="1" x14ac:dyDescent="0.2">
      <c r="A600" s="270"/>
      <c r="B600" s="270"/>
      <c r="C600" s="280"/>
      <c r="D600" s="281"/>
      <c r="E600" s="271"/>
      <c r="F600" s="271"/>
      <c r="G600" s="271"/>
      <c r="H600" s="271"/>
      <c r="I600" s="271"/>
      <c r="J600" s="271"/>
      <c r="K600" s="271"/>
      <c r="L600" s="271"/>
      <c r="M600" s="271"/>
      <c r="N600" s="271"/>
      <c r="O600" s="273"/>
      <c r="Q600" s="230"/>
      <c r="R600" s="230"/>
    </row>
    <row r="601" spans="1:18" s="225" customFormat="1" hidden="1" x14ac:dyDescent="0.2">
      <c r="A601" s="270"/>
      <c r="B601" s="270"/>
      <c r="C601" s="280"/>
      <c r="D601" s="281"/>
      <c r="E601" s="271"/>
      <c r="F601" s="271"/>
      <c r="G601" s="271"/>
      <c r="H601" s="271"/>
      <c r="I601" s="271"/>
      <c r="J601" s="271"/>
      <c r="K601" s="271"/>
      <c r="L601" s="271"/>
      <c r="M601" s="271"/>
      <c r="N601" s="271"/>
      <c r="O601" s="273"/>
      <c r="Q601" s="230"/>
      <c r="R601" s="230"/>
    </row>
    <row r="602" spans="1:18" s="225" customFormat="1" hidden="1" x14ac:dyDescent="0.2">
      <c r="A602" s="270"/>
      <c r="B602" s="270"/>
      <c r="C602" s="280"/>
      <c r="D602" s="281"/>
      <c r="E602" s="271"/>
      <c r="F602" s="271"/>
      <c r="G602" s="271"/>
      <c r="H602" s="271"/>
      <c r="I602" s="271"/>
      <c r="J602" s="271"/>
      <c r="K602" s="271"/>
      <c r="L602" s="271"/>
      <c r="M602" s="271"/>
      <c r="N602" s="271"/>
      <c r="O602" s="273"/>
      <c r="Q602" s="230"/>
      <c r="R602" s="230"/>
    </row>
    <row r="603" spans="1:18" s="225" customFormat="1" hidden="1" x14ac:dyDescent="0.2">
      <c r="A603" s="270"/>
      <c r="B603" s="270"/>
      <c r="C603" s="280"/>
      <c r="D603" s="281"/>
      <c r="E603" s="271"/>
      <c r="F603" s="271"/>
      <c r="G603" s="271"/>
      <c r="H603" s="271"/>
      <c r="I603" s="271"/>
      <c r="J603" s="271"/>
      <c r="K603" s="271"/>
      <c r="L603" s="271"/>
      <c r="M603" s="271"/>
      <c r="N603" s="271"/>
      <c r="O603" s="273"/>
      <c r="Q603" s="230"/>
      <c r="R603" s="230"/>
    </row>
    <row r="604" spans="1:18" s="225" customFormat="1" hidden="1" x14ac:dyDescent="0.2">
      <c r="A604" s="270"/>
      <c r="B604" s="270"/>
      <c r="C604" s="280"/>
      <c r="D604" s="281"/>
      <c r="E604" s="271"/>
      <c r="F604" s="271"/>
      <c r="G604" s="271"/>
      <c r="H604" s="271"/>
      <c r="I604" s="271"/>
      <c r="J604" s="271"/>
      <c r="K604" s="271"/>
      <c r="L604" s="271"/>
      <c r="M604" s="271"/>
      <c r="N604" s="271"/>
      <c r="O604" s="273"/>
      <c r="Q604" s="230"/>
      <c r="R604" s="230"/>
    </row>
    <row r="605" spans="1:18" s="225" customFormat="1" hidden="1" x14ac:dyDescent="0.2">
      <c r="A605" s="270"/>
      <c r="B605" s="270"/>
      <c r="C605" s="280"/>
      <c r="D605" s="281"/>
      <c r="E605" s="271"/>
      <c r="F605" s="271"/>
      <c r="G605" s="271"/>
      <c r="H605" s="271"/>
      <c r="I605" s="271"/>
      <c r="J605" s="271"/>
      <c r="K605" s="271"/>
      <c r="L605" s="271"/>
      <c r="M605" s="271"/>
      <c r="N605" s="271"/>
      <c r="O605" s="273"/>
      <c r="Q605" s="230"/>
      <c r="R605" s="230"/>
    </row>
    <row r="606" spans="1:18" s="225" customFormat="1" hidden="1" x14ac:dyDescent="0.2">
      <c r="A606" s="270"/>
      <c r="B606" s="270"/>
      <c r="C606" s="280"/>
      <c r="D606" s="281"/>
      <c r="E606" s="271"/>
      <c r="F606" s="271"/>
      <c r="G606" s="271"/>
      <c r="H606" s="271"/>
      <c r="I606" s="271"/>
      <c r="J606" s="271"/>
      <c r="K606" s="271"/>
      <c r="L606" s="271"/>
      <c r="M606" s="271"/>
      <c r="N606" s="271"/>
      <c r="O606" s="273"/>
      <c r="Q606" s="230"/>
      <c r="R606" s="230"/>
    </row>
    <row r="607" spans="1:18" s="225" customFormat="1" hidden="1" x14ac:dyDescent="0.2">
      <c r="A607" s="270"/>
      <c r="B607" s="270"/>
      <c r="C607" s="280"/>
      <c r="D607" s="281"/>
      <c r="E607" s="271"/>
      <c r="F607" s="271"/>
      <c r="G607" s="271"/>
      <c r="H607" s="271"/>
      <c r="I607" s="271"/>
      <c r="J607" s="271"/>
      <c r="K607" s="271"/>
      <c r="L607" s="271"/>
      <c r="M607" s="271"/>
      <c r="N607" s="271"/>
      <c r="O607" s="273"/>
      <c r="Q607" s="230"/>
      <c r="R607" s="230"/>
    </row>
    <row r="608" spans="1:18" s="225" customFormat="1" hidden="1" x14ac:dyDescent="0.2">
      <c r="A608" s="270"/>
      <c r="B608" s="270"/>
      <c r="C608" s="280"/>
      <c r="D608" s="281"/>
      <c r="E608" s="271"/>
      <c r="F608" s="271"/>
      <c r="G608" s="271"/>
      <c r="H608" s="271"/>
      <c r="I608" s="271"/>
      <c r="J608" s="271"/>
      <c r="K608" s="271"/>
      <c r="L608" s="271"/>
      <c r="M608" s="271"/>
      <c r="N608" s="271"/>
      <c r="O608" s="273"/>
      <c r="Q608" s="230"/>
      <c r="R608" s="230"/>
    </row>
    <row r="609" spans="1:18" s="225" customFormat="1" hidden="1" x14ac:dyDescent="0.2">
      <c r="A609" s="270"/>
      <c r="B609" s="270"/>
      <c r="C609" s="280"/>
      <c r="D609" s="281"/>
      <c r="E609" s="271"/>
      <c r="F609" s="271"/>
      <c r="G609" s="271"/>
      <c r="H609" s="271"/>
      <c r="I609" s="271"/>
      <c r="J609" s="271"/>
      <c r="K609" s="271"/>
      <c r="L609" s="271"/>
      <c r="M609" s="271"/>
      <c r="N609" s="271"/>
      <c r="O609" s="273"/>
      <c r="Q609" s="230"/>
      <c r="R609" s="230"/>
    </row>
    <row r="610" spans="1:18" s="225" customFormat="1" hidden="1" x14ac:dyDescent="0.2">
      <c r="A610" s="270"/>
      <c r="B610" s="270"/>
      <c r="C610" s="280"/>
      <c r="D610" s="281"/>
      <c r="E610" s="271"/>
      <c r="F610" s="271"/>
      <c r="G610" s="271"/>
      <c r="H610" s="271"/>
      <c r="I610" s="271"/>
      <c r="J610" s="271"/>
      <c r="K610" s="271"/>
      <c r="L610" s="271"/>
      <c r="M610" s="271"/>
      <c r="N610" s="271"/>
      <c r="O610" s="273"/>
      <c r="Q610" s="230"/>
      <c r="R610" s="230"/>
    </row>
    <row r="611" spans="1:18" s="225" customFormat="1" hidden="1" x14ac:dyDescent="0.2">
      <c r="A611" s="270"/>
      <c r="B611" s="270"/>
      <c r="C611" s="280"/>
      <c r="D611" s="281"/>
      <c r="E611" s="271"/>
      <c r="F611" s="271"/>
      <c r="G611" s="271"/>
      <c r="H611" s="271"/>
      <c r="I611" s="271"/>
      <c r="J611" s="271"/>
      <c r="K611" s="271"/>
      <c r="L611" s="271"/>
      <c r="M611" s="271"/>
      <c r="N611" s="271"/>
      <c r="O611" s="273"/>
      <c r="Q611" s="230"/>
      <c r="R611" s="230"/>
    </row>
    <row r="612" spans="1:18" s="225" customFormat="1" hidden="1" x14ac:dyDescent="0.2">
      <c r="A612" s="270"/>
      <c r="B612" s="270"/>
      <c r="C612" s="280"/>
      <c r="D612" s="281"/>
      <c r="E612" s="271"/>
      <c r="F612" s="271"/>
      <c r="G612" s="271"/>
      <c r="H612" s="271"/>
      <c r="I612" s="271"/>
      <c r="J612" s="271"/>
      <c r="K612" s="271"/>
      <c r="L612" s="271"/>
      <c r="M612" s="271"/>
      <c r="N612" s="271"/>
      <c r="O612" s="273"/>
      <c r="Q612" s="230"/>
      <c r="R612" s="230"/>
    </row>
    <row r="613" spans="1:18" s="225" customFormat="1" hidden="1" x14ac:dyDescent="0.2">
      <c r="A613" s="270"/>
      <c r="B613" s="270"/>
      <c r="C613" s="280"/>
      <c r="D613" s="281"/>
      <c r="E613" s="271"/>
      <c r="F613" s="271"/>
      <c r="G613" s="271"/>
      <c r="H613" s="271"/>
      <c r="I613" s="271"/>
      <c r="J613" s="271"/>
      <c r="K613" s="271"/>
      <c r="L613" s="271"/>
      <c r="M613" s="271"/>
      <c r="N613" s="271"/>
      <c r="O613" s="273"/>
      <c r="Q613" s="230"/>
      <c r="R613" s="230"/>
    </row>
    <row r="614" spans="1:18" s="225" customFormat="1" hidden="1" x14ac:dyDescent="0.2">
      <c r="A614" s="270"/>
      <c r="B614" s="270"/>
      <c r="C614" s="280"/>
      <c r="D614" s="281"/>
      <c r="E614" s="271"/>
      <c r="F614" s="271"/>
      <c r="G614" s="271"/>
      <c r="H614" s="271"/>
      <c r="I614" s="271"/>
      <c r="J614" s="271"/>
      <c r="K614" s="271"/>
      <c r="L614" s="271"/>
      <c r="M614" s="271"/>
      <c r="N614" s="271"/>
      <c r="O614" s="273"/>
      <c r="Q614" s="230"/>
      <c r="R614" s="230"/>
    </row>
    <row r="615" spans="1:18" s="225" customFormat="1" hidden="1" x14ac:dyDescent="0.2">
      <c r="A615" s="270"/>
      <c r="B615" s="270"/>
      <c r="C615" s="280"/>
      <c r="D615" s="281"/>
      <c r="E615" s="271"/>
      <c r="F615" s="271"/>
      <c r="G615" s="271"/>
      <c r="H615" s="271"/>
      <c r="I615" s="271"/>
      <c r="J615" s="271"/>
      <c r="K615" s="271"/>
      <c r="L615" s="271"/>
      <c r="M615" s="271"/>
      <c r="N615" s="271"/>
      <c r="O615" s="273"/>
      <c r="Q615" s="230"/>
      <c r="R615" s="230"/>
    </row>
    <row r="616" spans="1:18" s="225" customFormat="1" hidden="1" x14ac:dyDescent="0.2">
      <c r="A616" s="270"/>
      <c r="B616" s="270"/>
      <c r="C616" s="280"/>
      <c r="D616" s="281"/>
      <c r="E616" s="271"/>
      <c r="F616" s="271"/>
      <c r="G616" s="271"/>
      <c r="H616" s="271"/>
      <c r="I616" s="271"/>
      <c r="J616" s="271"/>
      <c r="K616" s="271"/>
      <c r="L616" s="271"/>
      <c r="M616" s="271"/>
      <c r="N616" s="271"/>
      <c r="O616" s="273"/>
      <c r="Q616" s="230"/>
      <c r="R616" s="230"/>
    </row>
    <row r="617" spans="1:18" s="225" customFormat="1" hidden="1" x14ac:dyDescent="0.2">
      <c r="A617" s="270"/>
      <c r="B617" s="270"/>
      <c r="C617" s="280"/>
      <c r="D617" s="281"/>
      <c r="E617" s="271"/>
      <c r="F617" s="271"/>
      <c r="G617" s="271"/>
      <c r="H617" s="271"/>
      <c r="I617" s="271"/>
      <c r="J617" s="271"/>
      <c r="K617" s="271"/>
      <c r="L617" s="271"/>
      <c r="M617" s="271"/>
      <c r="N617" s="271"/>
      <c r="O617" s="273"/>
      <c r="Q617" s="230"/>
      <c r="R617" s="230"/>
    </row>
    <row r="618" spans="1:18" s="225" customFormat="1" hidden="1" x14ac:dyDescent="0.2">
      <c r="A618" s="270"/>
      <c r="B618" s="270"/>
      <c r="C618" s="280"/>
      <c r="D618" s="281"/>
      <c r="E618" s="271"/>
      <c r="F618" s="271"/>
      <c r="G618" s="271"/>
      <c r="H618" s="271"/>
      <c r="I618" s="271"/>
      <c r="J618" s="271"/>
      <c r="K618" s="271"/>
      <c r="L618" s="271"/>
      <c r="M618" s="271"/>
      <c r="N618" s="271"/>
      <c r="O618" s="273"/>
      <c r="Q618" s="230"/>
      <c r="R618" s="230"/>
    </row>
    <row r="619" spans="1:18" s="225" customFormat="1" hidden="1" x14ac:dyDescent="0.2">
      <c r="A619" s="270"/>
      <c r="B619" s="270"/>
      <c r="C619" s="280"/>
      <c r="D619" s="281"/>
      <c r="E619" s="271"/>
      <c r="F619" s="271"/>
      <c r="G619" s="271"/>
      <c r="H619" s="271"/>
      <c r="I619" s="271"/>
      <c r="J619" s="271"/>
      <c r="K619" s="271"/>
      <c r="L619" s="271"/>
      <c r="M619" s="271"/>
      <c r="N619" s="271"/>
      <c r="O619" s="273"/>
      <c r="Q619" s="230"/>
      <c r="R619" s="230"/>
    </row>
    <row r="620" spans="1:18" s="225" customFormat="1" hidden="1" x14ac:dyDescent="0.2">
      <c r="A620" s="270"/>
      <c r="B620" s="270"/>
      <c r="C620" s="280"/>
      <c r="D620" s="281"/>
      <c r="E620" s="271"/>
      <c r="F620" s="271"/>
      <c r="G620" s="271"/>
      <c r="H620" s="271"/>
      <c r="I620" s="271"/>
      <c r="J620" s="271"/>
      <c r="K620" s="271"/>
      <c r="L620" s="271"/>
      <c r="M620" s="271"/>
      <c r="N620" s="271"/>
      <c r="O620" s="273"/>
      <c r="Q620" s="230"/>
      <c r="R620" s="230"/>
    </row>
    <row r="621" spans="1:18" s="225" customFormat="1" hidden="1" x14ac:dyDescent="0.2">
      <c r="A621" s="270"/>
      <c r="B621" s="270"/>
      <c r="C621" s="280"/>
      <c r="D621" s="281"/>
      <c r="E621" s="271"/>
      <c r="F621" s="271"/>
      <c r="G621" s="271"/>
      <c r="H621" s="271"/>
      <c r="I621" s="271"/>
      <c r="J621" s="271"/>
      <c r="K621" s="271"/>
      <c r="L621" s="271"/>
      <c r="M621" s="271"/>
      <c r="N621" s="271"/>
      <c r="O621" s="273"/>
      <c r="Q621" s="230"/>
      <c r="R621" s="230"/>
    </row>
    <row r="622" spans="1:18" s="225" customFormat="1" hidden="1" x14ac:dyDescent="0.2">
      <c r="A622" s="270"/>
      <c r="B622" s="270"/>
      <c r="C622" s="280"/>
      <c r="D622" s="281"/>
      <c r="E622" s="271"/>
      <c r="F622" s="271"/>
      <c r="G622" s="271"/>
      <c r="H622" s="271"/>
      <c r="I622" s="271"/>
      <c r="J622" s="271"/>
      <c r="K622" s="271"/>
      <c r="L622" s="271"/>
      <c r="M622" s="271"/>
      <c r="N622" s="271"/>
      <c r="O622" s="273"/>
      <c r="Q622" s="230"/>
      <c r="R622" s="230"/>
    </row>
    <row r="623" spans="1:18" s="225" customFormat="1" hidden="1" x14ac:dyDescent="0.2">
      <c r="A623" s="270"/>
      <c r="B623" s="270"/>
      <c r="C623" s="280"/>
      <c r="D623" s="281"/>
      <c r="E623" s="271"/>
      <c r="F623" s="271"/>
      <c r="G623" s="271"/>
      <c r="H623" s="271"/>
      <c r="I623" s="271"/>
      <c r="J623" s="271"/>
      <c r="K623" s="271"/>
      <c r="L623" s="271"/>
      <c r="M623" s="271"/>
      <c r="N623" s="271"/>
      <c r="O623" s="273"/>
      <c r="Q623" s="230"/>
      <c r="R623" s="230"/>
    </row>
    <row r="624" spans="1:18" s="225" customFormat="1" hidden="1" x14ac:dyDescent="0.2">
      <c r="A624" s="270"/>
      <c r="B624" s="270"/>
      <c r="C624" s="280"/>
      <c r="D624" s="281"/>
      <c r="E624" s="271"/>
      <c r="F624" s="271"/>
      <c r="G624" s="271"/>
      <c r="H624" s="271"/>
      <c r="I624" s="271"/>
      <c r="J624" s="271"/>
      <c r="K624" s="271"/>
      <c r="L624" s="271"/>
      <c r="M624" s="271"/>
      <c r="N624" s="271"/>
      <c r="O624" s="273"/>
      <c r="Q624" s="230"/>
      <c r="R624" s="230"/>
    </row>
    <row r="625" spans="1:18" s="225" customFormat="1" hidden="1" x14ac:dyDescent="0.2">
      <c r="A625" s="270"/>
      <c r="B625" s="270"/>
      <c r="C625" s="280"/>
      <c r="D625" s="281"/>
      <c r="E625" s="271"/>
      <c r="F625" s="271"/>
      <c r="G625" s="271"/>
      <c r="H625" s="271"/>
      <c r="I625" s="271"/>
      <c r="J625" s="271"/>
      <c r="K625" s="271"/>
      <c r="L625" s="271"/>
      <c r="M625" s="271"/>
      <c r="N625" s="271"/>
      <c r="O625" s="273"/>
      <c r="Q625" s="230"/>
      <c r="R625" s="230"/>
    </row>
    <row r="626" spans="1:18" s="225" customFormat="1" hidden="1" x14ac:dyDescent="0.2">
      <c r="A626" s="270"/>
      <c r="B626" s="270"/>
      <c r="C626" s="280"/>
      <c r="D626" s="281"/>
      <c r="E626" s="271"/>
      <c r="F626" s="271"/>
      <c r="G626" s="271"/>
      <c r="H626" s="271"/>
      <c r="I626" s="271"/>
      <c r="J626" s="271"/>
      <c r="K626" s="271"/>
      <c r="L626" s="271"/>
      <c r="M626" s="271"/>
      <c r="N626" s="271"/>
      <c r="O626" s="273"/>
      <c r="Q626" s="230"/>
      <c r="R626" s="230"/>
    </row>
    <row r="627" spans="1:18" s="225" customFormat="1" hidden="1" x14ac:dyDescent="0.2">
      <c r="A627" s="270"/>
      <c r="B627" s="270"/>
      <c r="C627" s="280"/>
      <c r="D627" s="281"/>
      <c r="E627" s="271"/>
      <c r="F627" s="271"/>
      <c r="G627" s="271"/>
      <c r="H627" s="271"/>
      <c r="I627" s="271"/>
      <c r="J627" s="271"/>
      <c r="K627" s="271"/>
      <c r="L627" s="271"/>
      <c r="M627" s="271"/>
      <c r="N627" s="271"/>
      <c r="O627" s="273"/>
      <c r="Q627" s="230"/>
      <c r="R627" s="230"/>
    </row>
    <row r="628" spans="1:18" s="225" customFormat="1" hidden="1" x14ac:dyDescent="0.2">
      <c r="A628" s="270"/>
      <c r="B628" s="270"/>
      <c r="C628" s="280"/>
      <c r="D628" s="281"/>
      <c r="E628" s="271"/>
      <c r="F628" s="271"/>
      <c r="G628" s="271"/>
      <c r="H628" s="271"/>
      <c r="I628" s="271"/>
      <c r="J628" s="271"/>
      <c r="K628" s="271"/>
      <c r="L628" s="271"/>
      <c r="M628" s="271"/>
      <c r="N628" s="271"/>
      <c r="O628" s="273"/>
      <c r="Q628" s="230"/>
      <c r="R628" s="230"/>
    </row>
    <row r="629" spans="1:18" s="225" customFormat="1" hidden="1" x14ac:dyDescent="0.2">
      <c r="A629" s="270"/>
      <c r="B629" s="270"/>
      <c r="C629" s="280"/>
      <c r="D629" s="281"/>
      <c r="E629" s="271"/>
      <c r="F629" s="271"/>
      <c r="G629" s="271"/>
      <c r="H629" s="271"/>
      <c r="I629" s="271"/>
      <c r="J629" s="271"/>
      <c r="K629" s="271"/>
      <c r="L629" s="271"/>
      <c r="M629" s="271"/>
      <c r="N629" s="271"/>
      <c r="O629" s="273"/>
      <c r="Q629" s="230"/>
      <c r="R629" s="230"/>
    </row>
    <row r="630" spans="1:18" s="225" customFormat="1" hidden="1" x14ac:dyDescent="0.2">
      <c r="A630" s="270"/>
      <c r="B630" s="270"/>
      <c r="C630" s="280"/>
      <c r="D630" s="281"/>
      <c r="E630" s="271"/>
      <c r="F630" s="271"/>
      <c r="G630" s="271"/>
      <c r="H630" s="271"/>
      <c r="I630" s="271"/>
      <c r="J630" s="271"/>
      <c r="K630" s="271"/>
      <c r="L630" s="271"/>
      <c r="M630" s="271"/>
      <c r="N630" s="271"/>
      <c r="O630" s="273"/>
      <c r="Q630" s="230"/>
      <c r="R630" s="230"/>
    </row>
    <row r="631" spans="1:18" s="225" customFormat="1" hidden="1" x14ac:dyDescent="0.2">
      <c r="A631" s="270"/>
      <c r="B631" s="270"/>
      <c r="C631" s="280"/>
      <c r="D631" s="281"/>
      <c r="E631" s="271"/>
      <c r="F631" s="271"/>
      <c r="G631" s="271"/>
      <c r="H631" s="271"/>
      <c r="I631" s="271"/>
      <c r="J631" s="271"/>
      <c r="K631" s="271"/>
      <c r="L631" s="271"/>
      <c r="M631" s="271"/>
      <c r="N631" s="271"/>
      <c r="O631" s="273"/>
      <c r="Q631" s="230"/>
      <c r="R631" s="230"/>
    </row>
    <row r="632" spans="1:18" s="225" customFormat="1" hidden="1" x14ac:dyDescent="0.2">
      <c r="A632" s="270"/>
      <c r="B632" s="270"/>
      <c r="C632" s="280"/>
      <c r="D632" s="281"/>
      <c r="E632" s="271"/>
      <c r="F632" s="271"/>
      <c r="G632" s="271"/>
      <c r="H632" s="271"/>
      <c r="I632" s="271"/>
      <c r="J632" s="271"/>
      <c r="K632" s="271"/>
      <c r="L632" s="271"/>
      <c r="M632" s="271"/>
      <c r="N632" s="271"/>
      <c r="O632" s="273"/>
      <c r="Q632" s="230"/>
      <c r="R632" s="230"/>
    </row>
    <row r="633" spans="1:18" s="225" customFormat="1" hidden="1" x14ac:dyDescent="0.2">
      <c r="A633" s="270"/>
      <c r="B633" s="270"/>
      <c r="C633" s="280"/>
      <c r="D633" s="281"/>
      <c r="E633" s="271"/>
      <c r="F633" s="271"/>
      <c r="G633" s="271"/>
      <c r="H633" s="271"/>
      <c r="I633" s="271"/>
      <c r="J633" s="271"/>
      <c r="K633" s="271"/>
      <c r="L633" s="271"/>
      <c r="M633" s="271"/>
      <c r="N633" s="271"/>
      <c r="O633" s="273"/>
      <c r="Q633" s="230"/>
      <c r="R633" s="230"/>
    </row>
    <row r="634" spans="1:18" s="225" customFormat="1" hidden="1" x14ac:dyDescent="0.2">
      <c r="A634" s="270"/>
      <c r="B634" s="270"/>
      <c r="C634" s="280"/>
      <c r="D634" s="281"/>
      <c r="E634" s="271"/>
      <c r="F634" s="271"/>
      <c r="G634" s="271"/>
      <c r="H634" s="271"/>
      <c r="I634" s="271"/>
      <c r="J634" s="271"/>
      <c r="K634" s="271"/>
      <c r="L634" s="271"/>
      <c r="M634" s="271"/>
      <c r="N634" s="271"/>
      <c r="O634" s="273"/>
      <c r="Q634" s="230"/>
      <c r="R634" s="230"/>
    </row>
    <row r="635" spans="1:18" s="225" customFormat="1" hidden="1" x14ac:dyDescent="0.2">
      <c r="A635" s="270"/>
      <c r="B635" s="270"/>
      <c r="C635" s="280"/>
      <c r="D635" s="281"/>
      <c r="E635" s="271"/>
      <c r="F635" s="271"/>
      <c r="G635" s="271"/>
      <c r="H635" s="271"/>
      <c r="I635" s="271"/>
      <c r="J635" s="271"/>
      <c r="K635" s="271"/>
      <c r="L635" s="271"/>
      <c r="M635" s="271"/>
      <c r="N635" s="271"/>
      <c r="O635" s="273"/>
      <c r="Q635" s="230"/>
      <c r="R635" s="230"/>
    </row>
    <row r="636" spans="1:18" s="225" customFormat="1" hidden="1" x14ac:dyDescent="0.2">
      <c r="A636" s="270"/>
      <c r="B636" s="270"/>
      <c r="C636" s="280"/>
      <c r="D636" s="281"/>
      <c r="E636" s="271"/>
      <c r="F636" s="271"/>
      <c r="G636" s="271"/>
      <c r="H636" s="271"/>
      <c r="I636" s="271"/>
      <c r="J636" s="271"/>
      <c r="K636" s="271"/>
      <c r="L636" s="271"/>
      <c r="M636" s="271"/>
      <c r="N636" s="271"/>
      <c r="O636" s="273"/>
      <c r="Q636" s="230"/>
      <c r="R636" s="230"/>
    </row>
    <row r="637" spans="1:18" s="225" customFormat="1" hidden="1" x14ac:dyDescent="0.2">
      <c r="A637" s="270"/>
      <c r="B637" s="270"/>
      <c r="C637" s="280"/>
      <c r="D637" s="281"/>
      <c r="E637" s="271"/>
      <c r="F637" s="271"/>
      <c r="G637" s="271"/>
      <c r="H637" s="271"/>
      <c r="I637" s="271"/>
      <c r="J637" s="271"/>
      <c r="K637" s="271"/>
      <c r="L637" s="271"/>
      <c r="M637" s="271"/>
      <c r="N637" s="271"/>
      <c r="O637" s="273"/>
      <c r="Q637" s="230"/>
      <c r="R637" s="230"/>
    </row>
    <row r="638" spans="1:18" s="225" customFormat="1" hidden="1" x14ac:dyDescent="0.2">
      <c r="A638" s="270"/>
      <c r="B638" s="270"/>
      <c r="C638" s="280"/>
      <c r="D638" s="281"/>
      <c r="E638" s="271"/>
      <c r="F638" s="271"/>
      <c r="G638" s="271"/>
      <c r="H638" s="271"/>
      <c r="I638" s="271"/>
      <c r="J638" s="271"/>
      <c r="K638" s="271"/>
      <c r="L638" s="271"/>
      <c r="M638" s="271"/>
      <c r="N638" s="271"/>
      <c r="O638" s="273"/>
      <c r="Q638" s="230"/>
      <c r="R638" s="230"/>
    </row>
    <row r="639" spans="1:18" s="225" customFormat="1" hidden="1" x14ac:dyDescent="0.2">
      <c r="A639" s="270"/>
      <c r="B639" s="270"/>
      <c r="C639" s="280"/>
      <c r="D639" s="281"/>
      <c r="E639" s="271"/>
      <c r="F639" s="271"/>
      <c r="G639" s="271"/>
      <c r="H639" s="271"/>
      <c r="I639" s="271"/>
      <c r="J639" s="271"/>
      <c r="K639" s="271"/>
      <c r="L639" s="271"/>
      <c r="M639" s="271"/>
      <c r="N639" s="271"/>
      <c r="O639" s="273"/>
      <c r="Q639" s="230"/>
      <c r="R639" s="230"/>
    </row>
    <row r="640" spans="1:18" s="225" customFormat="1" hidden="1" x14ac:dyDescent="0.2">
      <c r="A640" s="270"/>
      <c r="B640" s="270"/>
      <c r="C640" s="280"/>
      <c r="D640" s="281"/>
      <c r="E640" s="271"/>
      <c r="F640" s="271"/>
      <c r="G640" s="271"/>
      <c r="H640" s="271"/>
      <c r="I640" s="271"/>
      <c r="J640" s="271"/>
      <c r="K640" s="271"/>
      <c r="L640" s="271"/>
      <c r="M640" s="271"/>
      <c r="N640" s="271"/>
      <c r="O640" s="273"/>
      <c r="Q640" s="230"/>
      <c r="R640" s="230"/>
    </row>
    <row r="641" spans="1:18" s="225" customFormat="1" hidden="1" x14ac:dyDescent="0.2">
      <c r="A641" s="270"/>
      <c r="B641" s="270"/>
      <c r="C641" s="280"/>
      <c r="D641" s="281"/>
      <c r="E641" s="271"/>
      <c r="F641" s="271"/>
      <c r="G641" s="271"/>
      <c r="H641" s="271"/>
      <c r="I641" s="271"/>
      <c r="J641" s="271"/>
      <c r="K641" s="271"/>
      <c r="L641" s="271"/>
      <c r="M641" s="271"/>
      <c r="N641" s="271"/>
      <c r="O641" s="273"/>
      <c r="Q641" s="230"/>
      <c r="R641" s="230"/>
    </row>
    <row r="642" spans="1:18" s="225" customFormat="1" hidden="1" x14ac:dyDescent="0.2">
      <c r="A642" s="270"/>
      <c r="B642" s="270"/>
      <c r="C642" s="280"/>
      <c r="D642" s="281"/>
      <c r="E642" s="271"/>
      <c r="F642" s="271"/>
      <c r="G642" s="271"/>
      <c r="H642" s="271"/>
      <c r="I642" s="271"/>
      <c r="J642" s="271"/>
      <c r="K642" s="271"/>
      <c r="L642" s="271"/>
      <c r="M642" s="271"/>
      <c r="N642" s="271"/>
      <c r="O642" s="273"/>
      <c r="Q642" s="230"/>
      <c r="R642" s="230"/>
    </row>
    <row r="643" spans="1:18" s="225" customFormat="1" hidden="1" x14ac:dyDescent="0.2">
      <c r="A643" s="270"/>
      <c r="B643" s="270"/>
      <c r="C643" s="280"/>
      <c r="D643" s="281"/>
      <c r="E643" s="271"/>
      <c r="F643" s="271"/>
      <c r="G643" s="271"/>
      <c r="H643" s="271"/>
      <c r="I643" s="271"/>
      <c r="J643" s="271"/>
      <c r="K643" s="271"/>
      <c r="L643" s="271"/>
      <c r="M643" s="271"/>
      <c r="N643" s="271"/>
      <c r="O643" s="273"/>
      <c r="Q643" s="230"/>
      <c r="R643" s="230"/>
    </row>
    <row r="644" spans="1:18" s="225" customFormat="1" hidden="1" x14ac:dyDescent="0.2">
      <c r="A644" s="270"/>
      <c r="B644" s="270"/>
      <c r="C644" s="280"/>
      <c r="D644" s="281"/>
      <c r="E644" s="271"/>
      <c r="F644" s="271"/>
      <c r="G644" s="271"/>
      <c r="H644" s="271"/>
      <c r="I644" s="271"/>
      <c r="J644" s="271"/>
      <c r="K644" s="271"/>
      <c r="L644" s="271"/>
      <c r="M644" s="271"/>
      <c r="N644" s="271"/>
      <c r="O644" s="273"/>
      <c r="Q644" s="230"/>
      <c r="R644" s="230"/>
    </row>
    <row r="645" spans="1:18" s="225" customFormat="1" hidden="1" x14ac:dyDescent="0.2">
      <c r="A645" s="270"/>
      <c r="B645" s="270"/>
      <c r="C645" s="280"/>
      <c r="D645" s="281"/>
      <c r="E645" s="271"/>
      <c r="F645" s="271"/>
      <c r="G645" s="271"/>
      <c r="H645" s="271"/>
      <c r="I645" s="271"/>
      <c r="J645" s="271"/>
      <c r="K645" s="271"/>
      <c r="L645" s="271"/>
      <c r="M645" s="271"/>
      <c r="N645" s="271"/>
      <c r="O645" s="273"/>
      <c r="Q645" s="230"/>
      <c r="R645" s="230"/>
    </row>
    <row r="646" spans="1:18" s="225" customFormat="1" hidden="1" x14ac:dyDescent="0.2">
      <c r="A646" s="270"/>
      <c r="B646" s="270"/>
      <c r="C646" s="280"/>
      <c r="D646" s="281"/>
      <c r="E646" s="271"/>
      <c r="F646" s="271"/>
      <c r="G646" s="271"/>
      <c r="H646" s="271"/>
      <c r="I646" s="271"/>
      <c r="J646" s="271"/>
      <c r="K646" s="271"/>
      <c r="L646" s="271"/>
      <c r="M646" s="271"/>
      <c r="N646" s="271"/>
      <c r="O646" s="273"/>
      <c r="Q646" s="230"/>
      <c r="R646" s="230"/>
    </row>
    <row r="647" spans="1:18" s="225" customFormat="1" hidden="1" x14ac:dyDescent="0.2">
      <c r="A647" s="270"/>
      <c r="B647" s="270"/>
      <c r="C647" s="280"/>
      <c r="D647" s="281"/>
      <c r="E647" s="271"/>
      <c r="F647" s="271"/>
      <c r="G647" s="271"/>
      <c r="H647" s="271"/>
      <c r="I647" s="271"/>
      <c r="J647" s="271"/>
      <c r="K647" s="271"/>
      <c r="L647" s="271"/>
      <c r="M647" s="271"/>
      <c r="N647" s="271"/>
      <c r="O647" s="273"/>
      <c r="Q647" s="230"/>
      <c r="R647" s="230"/>
    </row>
    <row r="648" spans="1:18" s="225" customFormat="1" hidden="1" x14ac:dyDescent="0.2">
      <c r="A648" s="270"/>
      <c r="B648" s="270"/>
      <c r="C648" s="280"/>
      <c r="D648" s="281"/>
      <c r="E648" s="271"/>
      <c r="F648" s="271"/>
      <c r="G648" s="271"/>
      <c r="H648" s="271"/>
      <c r="I648" s="271"/>
      <c r="J648" s="271"/>
      <c r="K648" s="271"/>
      <c r="L648" s="271"/>
      <c r="M648" s="271"/>
      <c r="N648" s="271"/>
      <c r="O648" s="273"/>
      <c r="Q648" s="230"/>
      <c r="R648" s="230"/>
    </row>
    <row r="649" spans="1:18" s="225" customFormat="1" hidden="1" x14ac:dyDescent="0.2">
      <c r="A649" s="270"/>
      <c r="B649" s="270"/>
      <c r="C649" s="280"/>
      <c r="D649" s="281"/>
      <c r="E649" s="271"/>
      <c r="F649" s="271"/>
      <c r="G649" s="271"/>
      <c r="H649" s="271"/>
      <c r="I649" s="271"/>
      <c r="J649" s="271"/>
      <c r="K649" s="271"/>
      <c r="L649" s="271"/>
      <c r="M649" s="271"/>
      <c r="N649" s="271"/>
      <c r="O649" s="273"/>
      <c r="Q649" s="230"/>
      <c r="R649" s="230"/>
    </row>
    <row r="650" spans="1:18" s="225" customFormat="1" hidden="1" x14ac:dyDescent="0.2">
      <c r="A650" s="270"/>
      <c r="B650" s="270"/>
      <c r="C650" s="280"/>
      <c r="D650" s="281"/>
      <c r="E650" s="271"/>
      <c r="F650" s="271"/>
      <c r="G650" s="271"/>
      <c r="H650" s="271"/>
      <c r="I650" s="271"/>
      <c r="J650" s="271"/>
      <c r="K650" s="271"/>
      <c r="L650" s="271"/>
      <c r="M650" s="271"/>
      <c r="N650" s="271"/>
      <c r="O650" s="273"/>
      <c r="Q650" s="230"/>
      <c r="R650" s="230"/>
    </row>
    <row r="651" spans="1:18" s="225" customFormat="1" hidden="1" x14ac:dyDescent="0.2">
      <c r="A651" s="270"/>
      <c r="B651" s="270"/>
      <c r="C651" s="280"/>
      <c r="D651" s="281"/>
      <c r="E651" s="271"/>
      <c r="F651" s="271"/>
      <c r="G651" s="271"/>
      <c r="H651" s="271"/>
      <c r="I651" s="271"/>
      <c r="J651" s="271"/>
      <c r="K651" s="271"/>
      <c r="L651" s="271"/>
      <c r="M651" s="271"/>
      <c r="N651" s="271"/>
      <c r="O651" s="273"/>
      <c r="Q651" s="230"/>
      <c r="R651" s="230"/>
    </row>
    <row r="652" spans="1:18" s="225" customFormat="1" hidden="1" x14ac:dyDescent="0.2">
      <c r="A652" s="270"/>
      <c r="B652" s="270"/>
      <c r="C652" s="280"/>
      <c r="D652" s="281"/>
      <c r="E652" s="271"/>
      <c r="F652" s="271"/>
      <c r="G652" s="271"/>
      <c r="H652" s="271"/>
      <c r="I652" s="271"/>
      <c r="J652" s="271"/>
      <c r="K652" s="271"/>
      <c r="L652" s="271"/>
      <c r="M652" s="271"/>
      <c r="N652" s="271"/>
      <c r="O652" s="273"/>
      <c r="Q652" s="230"/>
      <c r="R652" s="230"/>
    </row>
    <row r="653" spans="1:18" s="225" customFormat="1" hidden="1" x14ac:dyDescent="0.2">
      <c r="A653" s="270"/>
      <c r="B653" s="270"/>
      <c r="C653" s="280"/>
      <c r="D653" s="281"/>
      <c r="E653" s="271"/>
      <c r="F653" s="271"/>
      <c r="G653" s="271"/>
      <c r="H653" s="271"/>
      <c r="I653" s="271"/>
      <c r="J653" s="271"/>
      <c r="K653" s="271"/>
      <c r="L653" s="271"/>
      <c r="M653" s="271"/>
      <c r="N653" s="271"/>
      <c r="O653" s="273"/>
      <c r="Q653" s="230"/>
      <c r="R653" s="230"/>
    </row>
    <row r="654" spans="1:18" s="225" customFormat="1" hidden="1" x14ac:dyDescent="0.2">
      <c r="A654" s="270"/>
      <c r="B654" s="270"/>
      <c r="C654" s="280"/>
      <c r="D654" s="281"/>
      <c r="E654" s="271"/>
      <c r="F654" s="271"/>
      <c r="G654" s="271"/>
      <c r="H654" s="271"/>
      <c r="I654" s="271"/>
      <c r="J654" s="271"/>
      <c r="K654" s="271"/>
      <c r="L654" s="271"/>
      <c r="M654" s="271"/>
      <c r="N654" s="271"/>
      <c r="O654" s="273"/>
      <c r="Q654" s="230"/>
      <c r="R654" s="230"/>
    </row>
    <row r="655" spans="1:18" s="225" customFormat="1" hidden="1" x14ac:dyDescent="0.2">
      <c r="A655" s="270"/>
      <c r="B655" s="270"/>
      <c r="C655" s="280"/>
      <c r="D655" s="281"/>
      <c r="E655" s="271"/>
      <c r="F655" s="271"/>
      <c r="G655" s="271"/>
      <c r="H655" s="271"/>
      <c r="I655" s="271"/>
      <c r="J655" s="271"/>
      <c r="K655" s="271"/>
      <c r="L655" s="271"/>
      <c r="M655" s="271"/>
      <c r="N655" s="271"/>
      <c r="O655" s="273"/>
      <c r="Q655" s="230"/>
      <c r="R655" s="230"/>
    </row>
    <row r="656" spans="1:18" s="225" customFormat="1" hidden="1" x14ac:dyDescent="0.2">
      <c r="A656" s="270"/>
      <c r="B656" s="270"/>
      <c r="C656" s="280"/>
      <c r="D656" s="281"/>
      <c r="E656" s="271"/>
      <c r="F656" s="271"/>
      <c r="G656" s="271"/>
      <c r="H656" s="271"/>
      <c r="I656" s="271"/>
      <c r="J656" s="271"/>
      <c r="K656" s="271"/>
      <c r="L656" s="271"/>
      <c r="M656" s="271"/>
      <c r="N656" s="271"/>
      <c r="O656" s="273"/>
      <c r="Q656" s="230"/>
      <c r="R656" s="230"/>
    </row>
    <row r="657" spans="1:18" s="225" customFormat="1" hidden="1" x14ac:dyDescent="0.2">
      <c r="A657" s="270"/>
      <c r="B657" s="270"/>
      <c r="C657" s="280"/>
      <c r="D657" s="281"/>
      <c r="E657" s="271"/>
      <c r="F657" s="271"/>
      <c r="G657" s="271"/>
      <c r="H657" s="271"/>
      <c r="I657" s="271"/>
      <c r="J657" s="271"/>
      <c r="K657" s="271"/>
      <c r="L657" s="271"/>
      <c r="M657" s="271"/>
      <c r="N657" s="271"/>
      <c r="O657" s="273"/>
      <c r="Q657" s="230"/>
      <c r="R657" s="230"/>
    </row>
    <row r="658" spans="1:18" s="225" customFormat="1" hidden="1" x14ac:dyDescent="0.2">
      <c r="A658" s="270"/>
      <c r="B658" s="270"/>
      <c r="C658" s="280"/>
      <c r="D658" s="281"/>
      <c r="E658" s="271"/>
      <c r="F658" s="271"/>
      <c r="G658" s="271"/>
      <c r="H658" s="271"/>
      <c r="I658" s="271"/>
      <c r="J658" s="271"/>
      <c r="K658" s="271"/>
      <c r="L658" s="271"/>
      <c r="M658" s="271"/>
      <c r="N658" s="271"/>
      <c r="O658" s="273"/>
      <c r="Q658" s="230"/>
      <c r="R658" s="230"/>
    </row>
    <row r="659" spans="1:18" s="225" customFormat="1" hidden="1" x14ac:dyDescent="0.2">
      <c r="A659" s="270"/>
      <c r="B659" s="270"/>
      <c r="C659" s="280"/>
      <c r="D659" s="281"/>
      <c r="E659" s="271"/>
      <c r="F659" s="271"/>
      <c r="G659" s="271"/>
      <c r="H659" s="271"/>
      <c r="I659" s="271"/>
      <c r="J659" s="271"/>
      <c r="K659" s="271"/>
      <c r="L659" s="271"/>
      <c r="M659" s="271"/>
      <c r="N659" s="271"/>
      <c r="O659" s="273"/>
      <c r="Q659" s="230"/>
      <c r="R659" s="230"/>
    </row>
    <row r="660" spans="1:18" s="225" customFormat="1" hidden="1" x14ac:dyDescent="0.2">
      <c r="A660" s="270"/>
      <c r="B660" s="270"/>
      <c r="C660" s="280"/>
      <c r="D660" s="281"/>
      <c r="E660" s="271"/>
      <c r="F660" s="271"/>
      <c r="G660" s="271"/>
      <c r="H660" s="271"/>
      <c r="I660" s="271"/>
      <c r="J660" s="271"/>
      <c r="K660" s="271"/>
      <c r="L660" s="271"/>
      <c r="M660" s="271"/>
      <c r="N660" s="271"/>
      <c r="O660" s="273"/>
      <c r="Q660" s="230"/>
      <c r="R660" s="230"/>
    </row>
    <row r="661" spans="1:18" s="225" customFormat="1" hidden="1" x14ac:dyDescent="0.2">
      <c r="A661" s="270"/>
      <c r="B661" s="270"/>
      <c r="C661" s="280"/>
      <c r="D661" s="281"/>
      <c r="E661" s="271"/>
      <c r="F661" s="271"/>
      <c r="G661" s="271"/>
      <c r="H661" s="271"/>
      <c r="I661" s="271"/>
      <c r="J661" s="271"/>
      <c r="K661" s="271"/>
      <c r="L661" s="271"/>
      <c r="M661" s="271"/>
      <c r="N661" s="271"/>
      <c r="O661" s="273"/>
      <c r="Q661" s="230"/>
      <c r="R661" s="230"/>
    </row>
    <row r="662" spans="1:18" s="225" customFormat="1" hidden="1" x14ac:dyDescent="0.2">
      <c r="A662" s="270"/>
      <c r="B662" s="270"/>
      <c r="C662" s="280"/>
      <c r="D662" s="281"/>
      <c r="E662" s="271"/>
      <c r="F662" s="271"/>
      <c r="G662" s="271"/>
      <c r="H662" s="271"/>
      <c r="I662" s="271"/>
      <c r="J662" s="271"/>
      <c r="K662" s="271"/>
      <c r="L662" s="271"/>
      <c r="M662" s="271"/>
      <c r="N662" s="271"/>
      <c r="O662" s="273"/>
      <c r="Q662" s="230"/>
      <c r="R662" s="230"/>
    </row>
    <row r="663" spans="1:18" s="225" customFormat="1" hidden="1" x14ac:dyDescent="0.2">
      <c r="A663" s="270"/>
      <c r="B663" s="270"/>
      <c r="C663" s="280"/>
      <c r="D663" s="281"/>
      <c r="E663" s="271"/>
      <c r="F663" s="271"/>
      <c r="G663" s="271"/>
      <c r="H663" s="271"/>
      <c r="I663" s="271"/>
      <c r="J663" s="271"/>
      <c r="K663" s="271"/>
      <c r="L663" s="271"/>
      <c r="M663" s="271"/>
      <c r="N663" s="271"/>
      <c r="O663" s="273"/>
      <c r="Q663" s="230"/>
      <c r="R663" s="230"/>
    </row>
    <row r="664" spans="1:18" s="225" customFormat="1" hidden="1" x14ac:dyDescent="0.2">
      <c r="A664" s="270"/>
      <c r="B664" s="270"/>
      <c r="C664" s="280"/>
      <c r="D664" s="281"/>
      <c r="E664" s="271"/>
      <c r="F664" s="271"/>
      <c r="G664" s="271"/>
      <c r="H664" s="271"/>
      <c r="I664" s="271"/>
      <c r="J664" s="271"/>
      <c r="K664" s="271"/>
      <c r="L664" s="271"/>
      <c r="M664" s="271"/>
      <c r="N664" s="271"/>
      <c r="O664" s="273"/>
      <c r="Q664" s="230"/>
      <c r="R664" s="230"/>
    </row>
    <row r="665" spans="1:18" s="225" customFormat="1" hidden="1" x14ac:dyDescent="0.2">
      <c r="A665" s="270"/>
      <c r="B665" s="270"/>
      <c r="C665" s="280"/>
      <c r="D665" s="281"/>
      <c r="E665" s="271"/>
      <c r="F665" s="271"/>
      <c r="G665" s="271"/>
      <c r="H665" s="271"/>
      <c r="I665" s="271"/>
      <c r="J665" s="271"/>
      <c r="K665" s="271"/>
      <c r="L665" s="271"/>
      <c r="M665" s="271"/>
      <c r="N665" s="271"/>
      <c r="O665" s="273"/>
      <c r="Q665" s="230"/>
      <c r="R665" s="230"/>
    </row>
    <row r="666" spans="1:18" s="225" customFormat="1" hidden="1" x14ac:dyDescent="0.2">
      <c r="A666" s="270"/>
      <c r="B666" s="270"/>
      <c r="C666" s="280"/>
      <c r="D666" s="281"/>
      <c r="E666" s="271"/>
      <c r="F666" s="271"/>
      <c r="G666" s="271"/>
      <c r="H666" s="271"/>
      <c r="I666" s="271"/>
      <c r="J666" s="271"/>
      <c r="K666" s="271"/>
      <c r="L666" s="271"/>
      <c r="M666" s="271"/>
      <c r="N666" s="271"/>
      <c r="O666" s="273"/>
      <c r="Q666" s="230"/>
      <c r="R666" s="230"/>
    </row>
    <row r="667" spans="1:18" s="225" customFormat="1" hidden="1" x14ac:dyDescent="0.2">
      <c r="A667" s="270"/>
      <c r="B667" s="270"/>
      <c r="C667" s="280"/>
      <c r="D667" s="281"/>
      <c r="E667" s="271"/>
      <c r="F667" s="271"/>
      <c r="G667" s="271"/>
      <c r="H667" s="271"/>
      <c r="I667" s="271"/>
      <c r="J667" s="271"/>
      <c r="K667" s="271"/>
      <c r="L667" s="271"/>
      <c r="M667" s="271"/>
      <c r="N667" s="271"/>
      <c r="O667" s="273"/>
      <c r="Q667" s="230"/>
      <c r="R667" s="230"/>
    </row>
    <row r="668" spans="1:18" s="225" customFormat="1" hidden="1" x14ac:dyDescent="0.2">
      <c r="A668" s="270"/>
      <c r="B668" s="270"/>
      <c r="C668" s="280"/>
      <c r="D668" s="281"/>
      <c r="E668" s="271"/>
      <c r="F668" s="271"/>
      <c r="G668" s="271"/>
      <c r="H668" s="271"/>
      <c r="I668" s="271"/>
      <c r="J668" s="271"/>
      <c r="K668" s="271"/>
      <c r="L668" s="271"/>
      <c r="M668" s="271"/>
      <c r="N668" s="271"/>
      <c r="O668" s="273"/>
      <c r="Q668" s="230"/>
      <c r="R668" s="230"/>
    </row>
    <row r="669" spans="1:18" s="225" customFormat="1" hidden="1" x14ac:dyDescent="0.2">
      <c r="A669" s="270"/>
      <c r="B669" s="270"/>
      <c r="C669" s="280"/>
      <c r="D669" s="281"/>
      <c r="E669" s="271"/>
      <c r="F669" s="271"/>
      <c r="G669" s="271"/>
      <c r="H669" s="271"/>
      <c r="I669" s="271"/>
      <c r="J669" s="271"/>
      <c r="K669" s="271"/>
      <c r="L669" s="271"/>
      <c r="M669" s="271"/>
      <c r="N669" s="271"/>
      <c r="O669" s="273"/>
      <c r="Q669" s="230"/>
      <c r="R669" s="230"/>
    </row>
    <row r="670" spans="1:18" s="225" customFormat="1" hidden="1" x14ac:dyDescent="0.2">
      <c r="A670" s="270"/>
      <c r="B670" s="270"/>
      <c r="C670" s="280"/>
      <c r="D670" s="281"/>
      <c r="E670" s="271"/>
      <c r="F670" s="271"/>
      <c r="G670" s="271"/>
      <c r="H670" s="271"/>
      <c r="I670" s="271"/>
      <c r="J670" s="271"/>
      <c r="K670" s="271"/>
      <c r="L670" s="271"/>
      <c r="M670" s="271"/>
      <c r="N670" s="271"/>
      <c r="O670" s="273"/>
      <c r="Q670" s="230"/>
      <c r="R670" s="230"/>
    </row>
    <row r="671" spans="1:18" s="225" customFormat="1" hidden="1" x14ac:dyDescent="0.2">
      <c r="A671" s="270"/>
      <c r="B671" s="270"/>
      <c r="C671" s="280"/>
      <c r="D671" s="281"/>
      <c r="E671" s="271"/>
      <c r="F671" s="271"/>
      <c r="G671" s="271"/>
      <c r="H671" s="271"/>
      <c r="I671" s="271"/>
      <c r="J671" s="271"/>
      <c r="K671" s="271"/>
      <c r="L671" s="271"/>
      <c r="M671" s="271"/>
      <c r="N671" s="271"/>
      <c r="O671" s="273"/>
      <c r="Q671" s="230"/>
      <c r="R671" s="230"/>
    </row>
    <row r="672" spans="1:18" s="225" customFormat="1" hidden="1" x14ac:dyDescent="0.2">
      <c r="A672" s="270"/>
      <c r="B672" s="270"/>
      <c r="C672" s="280"/>
      <c r="D672" s="281"/>
      <c r="E672" s="271"/>
      <c r="F672" s="271"/>
      <c r="G672" s="271"/>
      <c r="H672" s="271"/>
      <c r="I672" s="271"/>
      <c r="J672" s="271"/>
      <c r="K672" s="271"/>
      <c r="L672" s="271"/>
      <c r="M672" s="271"/>
      <c r="N672" s="271"/>
      <c r="O672" s="273"/>
      <c r="Q672" s="230"/>
      <c r="R672" s="230"/>
    </row>
    <row r="673" spans="1:18" s="225" customFormat="1" hidden="1" x14ac:dyDescent="0.2">
      <c r="A673" s="270"/>
      <c r="B673" s="270"/>
      <c r="C673" s="280"/>
      <c r="D673" s="281"/>
      <c r="E673" s="271"/>
      <c r="F673" s="271"/>
      <c r="G673" s="271"/>
      <c r="H673" s="271"/>
      <c r="I673" s="271"/>
      <c r="J673" s="271"/>
      <c r="K673" s="271"/>
      <c r="L673" s="271"/>
      <c r="M673" s="271"/>
      <c r="N673" s="271"/>
      <c r="O673" s="273"/>
      <c r="Q673" s="230"/>
      <c r="R673" s="230"/>
    </row>
    <row r="674" spans="1:18" s="225" customFormat="1" hidden="1" x14ac:dyDescent="0.2">
      <c r="A674" s="270"/>
      <c r="B674" s="270"/>
      <c r="C674" s="280"/>
      <c r="D674" s="281"/>
      <c r="E674" s="271"/>
      <c r="F674" s="271"/>
      <c r="G674" s="271"/>
      <c r="H674" s="271"/>
      <c r="I674" s="271"/>
      <c r="J674" s="271"/>
      <c r="K674" s="271"/>
      <c r="L674" s="271"/>
      <c r="M674" s="271"/>
      <c r="N674" s="271"/>
      <c r="O674" s="273"/>
      <c r="Q674" s="230"/>
      <c r="R674" s="230"/>
    </row>
    <row r="675" spans="1:18" s="225" customFormat="1" hidden="1" x14ac:dyDescent="0.2">
      <c r="A675" s="270"/>
      <c r="B675" s="270"/>
      <c r="C675" s="280"/>
      <c r="D675" s="281"/>
      <c r="E675" s="271"/>
      <c r="F675" s="271"/>
      <c r="G675" s="271"/>
      <c r="H675" s="271"/>
      <c r="I675" s="271"/>
      <c r="J675" s="271"/>
      <c r="K675" s="271"/>
      <c r="L675" s="271"/>
      <c r="M675" s="271"/>
      <c r="N675" s="271"/>
      <c r="O675" s="273"/>
      <c r="Q675" s="230"/>
      <c r="R675" s="230"/>
    </row>
    <row r="676" spans="1:18" s="225" customFormat="1" hidden="1" x14ac:dyDescent="0.2">
      <c r="A676" s="270"/>
      <c r="B676" s="270"/>
      <c r="C676" s="280"/>
      <c r="D676" s="281"/>
      <c r="E676" s="271"/>
      <c r="F676" s="271"/>
      <c r="G676" s="271"/>
      <c r="H676" s="271"/>
      <c r="I676" s="271"/>
      <c r="J676" s="271"/>
      <c r="K676" s="271"/>
      <c r="L676" s="271"/>
      <c r="M676" s="271"/>
      <c r="N676" s="271"/>
      <c r="O676" s="273"/>
      <c r="Q676" s="230"/>
      <c r="R676" s="230"/>
    </row>
    <row r="677" spans="1:18" s="225" customFormat="1" hidden="1" x14ac:dyDescent="0.2">
      <c r="A677" s="270"/>
      <c r="B677" s="270"/>
      <c r="C677" s="280"/>
      <c r="D677" s="281"/>
      <c r="E677" s="271"/>
      <c r="F677" s="271"/>
      <c r="G677" s="271"/>
      <c r="H677" s="271"/>
      <c r="I677" s="271"/>
      <c r="J677" s="271"/>
      <c r="K677" s="271"/>
      <c r="L677" s="271"/>
      <c r="M677" s="271"/>
      <c r="N677" s="271"/>
      <c r="O677" s="273"/>
      <c r="Q677" s="230"/>
      <c r="R677" s="230"/>
    </row>
    <row r="678" spans="1:18" s="225" customFormat="1" hidden="1" x14ac:dyDescent="0.2">
      <c r="A678" s="270"/>
      <c r="B678" s="270"/>
      <c r="C678" s="280"/>
      <c r="D678" s="281"/>
      <c r="E678" s="271"/>
      <c r="F678" s="271"/>
      <c r="G678" s="271"/>
      <c r="H678" s="271"/>
      <c r="I678" s="271"/>
      <c r="J678" s="271"/>
      <c r="K678" s="271"/>
      <c r="L678" s="271"/>
      <c r="M678" s="271"/>
      <c r="N678" s="271"/>
      <c r="O678" s="273"/>
      <c r="Q678" s="230"/>
      <c r="R678" s="230"/>
    </row>
    <row r="679" spans="1:18" s="225" customFormat="1" hidden="1" x14ac:dyDescent="0.2">
      <c r="A679" s="270"/>
      <c r="B679" s="270"/>
      <c r="C679" s="280"/>
      <c r="D679" s="281"/>
      <c r="E679" s="271"/>
      <c r="F679" s="271"/>
      <c r="G679" s="271"/>
      <c r="H679" s="271"/>
      <c r="I679" s="271"/>
      <c r="J679" s="271"/>
      <c r="K679" s="271"/>
      <c r="L679" s="271"/>
      <c r="M679" s="271"/>
      <c r="N679" s="271"/>
      <c r="O679" s="273"/>
      <c r="Q679" s="230"/>
      <c r="R679" s="230"/>
    </row>
    <row r="680" spans="1:18" s="225" customFormat="1" hidden="1" x14ac:dyDescent="0.2">
      <c r="A680" s="270"/>
      <c r="B680" s="270"/>
      <c r="C680" s="280"/>
      <c r="D680" s="281"/>
      <c r="E680" s="271"/>
      <c r="F680" s="271"/>
      <c r="G680" s="271"/>
      <c r="H680" s="271"/>
      <c r="I680" s="271"/>
      <c r="J680" s="271"/>
      <c r="K680" s="271"/>
      <c r="L680" s="271"/>
      <c r="M680" s="271"/>
      <c r="N680" s="271"/>
      <c r="O680" s="273"/>
      <c r="Q680" s="230"/>
      <c r="R680" s="230"/>
    </row>
    <row r="681" spans="1:18" s="225" customFormat="1" hidden="1" x14ac:dyDescent="0.2">
      <c r="A681" s="270"/>
      <c r="B681" s="270"/>
      <c r="C681" s="280"/>
      <c r="D681" s="281"/>
      <c r="E681" s="271"/>
      <c r="F681" s="271"/>
      <c r="G681" s="271"/>
      <c r="H681" s="271"/>
      <c r="I681" s="271"/>
      <c r="J681" s="271"/>
      <c r="K681" s="271"/>
      <c r="L681" s="271"/>
      <c r="M681" s="271"/>
      <c r="N681" s="271"/>
      <c r="O681" s="273"/>
      <c r="Q681" s="230"/>
      <c r="R681" s="230"/>
    </row>
    <row r="682" spans="1:18" s="225" customFormat="1" hidden="1" x14ac:dyDescent="0.2">
      <c r="A682" s="270"/>
      <c r="B682" s="270"/>
      <c r="C682" s="280"/>
      <c r="D682" s="281"/>
      <c r="E682" s="271"/>
      <c r="F682" s="271"/>
      <c r="G682" s="271"/>
      <c r="H682" s="271"/>
      <c r="I682" s="271"/>
      <c r="J682" s="271"/>
      <c r="K682" s="271"/>
      <c r="L682" s="271"/>
      <c r="M682" s="271"/>
      <c r="N682" s="271"/>
      <c r="O682" s="273"/>
      <c r="Q682" s="230"/>
      <c r="R682" s="230"/>
    </row>
    <row r="683" spans="1:18" s="225" customFormat="1" hidden="1" x14ac:dyDescent="0.2">
      <c r="A683" s="270"/>
      <c r="B683" s="270"/>
      <c r="C683" s="280"/>
      <c r="D683" s="281"/>
      <c r="E683" s="271"/>
      <c r="F683" s="271"/>
      <c r="G683" s="271"/>
      <c r="H683" s="271"/>
      <c r="I683" s="271"/>
      <c r="J683" s="271"/>
      <c r="K683" s="271"/>
      <c r="L683" s="271"/>
      <c r="M683" s="271"/>
      <c r="N683" s="271"/>
      <c r="O683" s="273"/>
      <c r="Q683" s="230"/>
      <c r="R683" s="230"/>
    </row>
    <row r="684" spans="1:18" s="225" customFormat="1" hidden="1" x14ac:dyDescent="0.2">
      <c r="A684" s="270"/>
      <c r="B684" s="270"/>
      <c r="C684" s="280"/>
      <c r="D684" s="281"/>
      <c r="E684" s="271"/>
      <c r="F684" s="271"/>
      <c r="G684" s="271"/>
      <c r="H684" s="271"/>
      <c r="I684" s="271"/>
      <c r="J684" s="271"/>
      <c r="K684" s="271"/>
      <c r="L684" s="271"/>
      <c r="M684" s="271"/>
      <c r="N684" s="271"/>
      <c r="O684" s="273"/>
      <c r="Q684" s="230"/>
      <c r="R684" s="230"/>
    </row>
    <row r="685" spans="1:18" s="225" customFormat="1" hidden="1" x14ac:dyDescent="0.2">
      <c r="A685" s="270"/>
      <c r="B685" s="270"/>
      <c r="C685" s="280"/>
      <c r="D685" s="281"/>
      <c r="E685" s="271"/>
      <c r="F685" s="271"/>
      <c r="G685" s="271"/>
      <c r="H685" s="271"/>
      <c r="I685" s="271"/>
      <c r="J685" s="271"/>
      <c r="K685" s="271"/>
      <c r="L685" s="271"/>
      <c r="M685" s="271"/>
      <c r="N685" s="271"/>
      <c r="O685" s="273"/>
      <c r="Q685" s="230"/>
      <c r="R685" s="230"/>
    </row>
    <row r="686" spans="1:18" s="225" customFormat="1" hidden="1" x14ac:dyDescent="0.2">
      <c r="A686" s="270"/>
      <c r="B686" s="270"/>
      <c r="C686" s="280"/>
      <c r="D686" s="281"/>
      <c r="E686" s="271"/>
      <c r="F686" s="271"/>
      <c r="G686" s="271"/>
      <c r="H686" s="271"/>
      <c r="I686" s="271"/>
      <c r="J686" s="271"/>
      <c r="K686" s="271"/>
      <c r="L686" s="271"/>
      <c r="M686" s="271"/>
      <c r="N686" s="271"/>
      <c r="O686" s="273"/>
      <c r="Q686" s="230"/>
      <c r="R686" s="230"/>
    </row>
    <row r="687" spans="1:18" s="225" customFormat="1" hidden="1" x14ac:dyDescent="0.2">
      <c r="A687" s="270"/>
      <c r="B687" s="270"/>
      <c r="C687" s="280"/>
      <c r="D687" s="281"/>
      <c r="E687" s="271"/>
      <c r="F687" s="271"/>
      <c r="G687" s="271"/>
      <c r="H687" s="271"/>
      <c r="I687" s="271"/>
      <c r="J687" s="271"/>
      <c r="K687" s="271"/>
      <c r="L687" s="271"/>
      <c r="M687" s="271"/>
      <c r="N687" s="271"/>
      <c r="O687" s="273"/>
      <c r="Q687" s="230"/>
      <c r="R687" s="230"/>
    </row>
    <row r="688" spans="1:18" s="225" customFormat="1" hidden="1" x14ac:dyDescent="0.2">
      <c r="A688" s="270"/>
      <c r="B688" s="270"/>
      <c r="C688" s="280"/>
      <c r="D688" s="281"/>
      <c r="E688" s="271"/>
      <c r="F688" s="271"/>
      <c r="G688" s="271"/>
      <c r="H688" s="271"/>
      <c r="I688" s="271"/>
      <c r="J688" s="271"/>
      <c r="K688" s="271"/>
      <c r="L688" s="271"/>
      <c r="M688" s="271"/>
      <c r="N688" s="271"/>
      <c r="O688" s="273"/>
      <c r="Q688" s="230"/>
      <c r="R688" s="230"/>
    </row>
    <row r="689" spans="1:18" s="225" customFormat="1" hidden="1" x14ac:dyDescent="0.2">
      <c r="A689" s="270"/>
      <c r="B689" s="270"/>
      <c r="C689" s="280"/>
      <c r="D689" s="281"/>
      <c r="E689" s="271"/>
      <c r="F689" s="271"/>
      <c r="G689" s="271"/>
      <c r="H689" s="271"/>
      <c r="I689" s="271"/>
      <c r="J689" s="271"/>
      <c r="K689" s="271"/>
      <c r="L689" s="271"/>
      <c r="M689" s="271"/>
      <c r="N689" s="271"/>
      <c r="O689" s="273"/>
      <c r="Q689" s="230"/>
      <c r="R689" s="230"/>
    </row>
    <row r="690" spans="1:18" s="225" customFormat="1" hidden="1" x14ac:dyDescent="0.2">
      <c r="A690" s="270"/>
      <c r="B690" s="270"/>
      <c r="C690" s="280"/>
      <c r="D690" s="281"/>
      <c r="E690" s="271"/>
      <c r="F690" s="271"/>
      <c r="G690" s="271"/>
      <c r="H690" s="271"/>
      <c r="I690" s="271"/>
      <c r="J690" s="271"/>
      <c r="K690" s="271"/>
      <c r="L690" s="271"/>
      <c r="M690" s="271"/>
      <c r="N690" s="271"/>
      <c r="O690" s="273"/>
      <c r="Q690" s="230"/>
      <c r="R690" s="230"/>
    </row>
    <row r="691" spans="1:18" s="225" customFormat="1" hidden="1" x14ac:dyDescent="0.2">
      <c r="A691" s="270"/>
      <c r="B691" s="270"/>
      <c r="C691" s="280"/>
      <c r="D691" s="281"/>
      <c r="E691" s="271"/>
      <c r="F691" s="271"/>
      <c r="G691" s="271"/>
      <c r="H691" s="271"/>
      <c r="I691" s="271"/>
      <c r="J691" s="271"/>
      <c r="K691" s="271"/>
      <c r="L691" s="271"/>
      <c r="M691" s="271"/>
      <c r="N691" s="271"/>
      <c r="O691" s="273"/>
      <c r="Q691" s="230"/>
      <c r="R691" s="230"/>
    </row>
    <row r="692" spans="1:18" s="225" customFormat="1" hidden="1" x14ac:dyDescent="0.2">
      <c r="A692" s="270"/>
      <c r="B692" s="270"/>
      <c r="C692" s="280"/>
      <c r="D692" s="281"/>
      <c r="E692" s="271"/>
      <c r="F692" s="271"/>
      <c r="G692" s="271"/>
      <c r="H692" s="271"/>
      <c r="I692" s="271"/>
      <c r="J692" s="271"/>
      <c r="K692" s="271"/>
      <c r="L692" s="271"/>
      <c r="M692" s="271"/>
      <c r="N692" s="271"/>
      <c r="O692" s="273"/>
      <c r="Q692" s="230"/>
      <c r="R692" s="230"/>
    </row>
    <row r="693" spans="1:18" s="225" customFormat="1" hidden="1" x14ac:dyDescent="0.2">
      <c r="A693" s="270"/>
      <c r="B693" s="270"/>
      <c r="C693" s="280"/>
      <c r="D693" s="281"/>
      <c r="E693" s="271"/>
      <c r="F693" s="271"/>
      <c r="G693" s="271"/>
      <c r="H693" s="271"/>
      <c r="I693" s="271"/>
      <c r="J693" s="271"/>
      <c r="K693" s="271"/>
      <c r="L693" s="271"/>
      <c r="M693" s="271"/>
      <c r="N693" s="271"/>
      <c r="O693" s="273"/>
      <c r="Q693" s="230"/>
      <c r="R693" s="230"/>
    </row>
    <row r="694" spans="1:18" s="225" customFormat="1" hidden="1" x14ac:dyDescent="0.2">
      <c r="A694" s="270"/>
      <c r="B694" s="270"/>
      <c r="C694" s="280"/>
      <c r="D694" s="281"/>
      <c r="E694" s="271"/>
      <c r="F694" s="271"/>
      <c r="G694" s="271"/>
      <c r="H694" s="271"/>
      <c r="I694" s="271"/>
      <c r="J694" s="271"/>
      <c r="K694" s="271"/>
      <c r="L694" s="271"/>
      <c r="M694" s="271"/>
      <c r="N694" s="271"/>
      <c r="O694" s="273"/>
      <c r="Q694" s="230"/>
      <c r="R694" s="230"/>
    </row>
    <row r="695" spans="1:18" s="225" customFormat="1" hidden="1" x14ac:dyDescent="0.2">
      <c r="A695" s="270"/>
      <c r="B695" s="270"/>
      <c r="C695" s="280"/>
      <c r="D695" s="281"/>
      <c r="E695" s="271"/>
      <c r="F695" s="271"/>
      <c r="G695" s="271"/>
      <c r="H695" s="271"/>
      <c r="I695" s="271"/>
      <c r="J695" s="271"/>
      <c r="K695" s="271"/>
      <c r="L695" s="271"/>
      <c r="M695" s="271"/>
      <c r="N695" s="271"/>
      <c r="O695" s="273"/>
      <c r="Q695" s="230"/>
      <c r="R695" s="230"/>
    </row>
    <row r="696" spans="1:18" s="225" customFormat="1" hidden="1" x14ac:dyDescent="0.2">
      <c r="A696" s="270"/>
      <c r="B696" s="270"/>
      <c r="C696" s="280"/>
      <c r="D696" s="281"/>
      <c r="E696" s="271"/>
      <c r="F696" s="271"/>
      <c r="G696" s="271"/>
      <c r="H696" s="271"/>
      <c r="I696" s="271"/>
      <c r="J696" s="271"/>
      <c r="K696" s="271"/>
      <c r="L696" s="271"/>
      <c r="M696" s="271"/>
      <c r="N696" s="271"/>
      <c r="O696" s="273"/>
      <c r="Q696" s="230"/>
      <c r="R696" s="230"/>
    </row>
    <row r="697" spans="1:18" s="225" customFormat="1" hidden="1" x14ac:dyDescent="0.2">
      <c r="A697" s="270"/>
      <c r="B697" s="270"/>
      <c r="C697" s="280"/>
      <c r="D697" s="281"/>
      <c r="E697" s="271"/>
      <c r="F697" s="271"/>
      <c r="G697" s="271"/>
      <c r="H697" s="271"/>
      <c r="I697" s="271"/>
      <c r="J697" s="271"/>
      <c r="K697" s="271"/>
      <c r="L697" s="271"/>
      <c r="M697" s="271"/>
      <c r="N697" s="271"/>
      <c r="O697" s="273"/>
      <c r="Q697" s="230"/>
      <c r="R697" s="230"/>
    </row>
    <row r="698" spans="1:18" s="225" customFormat="1" hidden="1" x14ac:dyDescent="0.2">
      <c r="A698" s="270"/>
      <c r="B698" s="270"/>
      <c r="C698" s="280"/>
      <c r="D698" s="281"/>
      <c r="E698" s="271"/>
      <c r="F698" s="271"/>
      <c r="G698" s="271"/>
      <c r="H698" s="271"/>
      <c r="I698" s="271"/>
      <c r="J698" s="271"/>
      <c r="K698" s="271"/>
      <c r="L698" s="271"/>
      <c r="M698" s="271"/>
      <c r="N698" s="271"/>
      <c r="O698" s="273"/>
      <c r="Q698" s="230"/>
      <c r="R698" s="230"/>
    </row>
    <row r="699" spans="1:18" s="225" customFormat="1" hidden="1" x14ac:dyDescent="0.2">
      <c r="A699" s="270"/>
      <c r="B699" s="270"/>
      <c r="C699" s="280"/>
      <c r="D699" s="281"/>
      <c r="E699" s="271"/>
      <c r="F699" s="271"/>
      <c r="G699" s="271"/>
      <c r="H699" s="271"/>
      <c r="I699" s="271"/>
      <c r="J699" s="271"/>
      <c r="K699" s="271"/>
      <c r="L699" s="271"/>
      <c r="M699" s="271"/>
      <c r="N699" s="271"/>
      <c r="O699" s="273"/>
      <c r="Q699" s="230"/>
      <c r="R699" s="230"/>
    </row>
    <row r="700" spans="1:18" s="225" customFormat="1" hidden="1" x14ac:dyDescent="0.2">
      <c r="A700" s="270"/>
      <c r="B700" s="270"/>
      <c r="C700" s="280"/>
      <c r="D700" s="281"/>
      <c r="E700" s="271"/>
      <c r="F700" s="271"/>
      <c r="G700" s="271"/>
      <c r="H700" s="271"/>
      <c r="I700" s="271"/>
      <c r="J700" s="271"/>
      <c r="K700" s="271"/>
      <c r="L700" s="271"/>
      <c r="M700" s="271"/>
      <c r="N700" s="271"/>
      <c r="O700" s="273"/>
      <c r="Q700" s="230"/>
      <c r="R700" s="230"/>
    </row>
    <row r="701" spans="1:18" s="225" customFormat="1" hidden="1" x14ac:dyDescent="0.2">
      <c r="A701" s="270"/>
      <c r="B701" s="270"/>
      <c r="C701" s="280"/>
      <c r="D701" s="281"/>
      <c r="E701" s="271"/>
      <c r="F701" s="271"/>
      <c r="G701" s="271"/>
      <c r="H701" s="271"/>
      <c r="I701" s="271"/>
      <c r="J701" s="271"/>
      <c r="K701" s="271"/>
      <c r="L701" s="271"/>
      <c r="M701" s="271"/>
      <c r="N701" s="271"/>
      <c r="O701" s="273"/>
      <c r="Q701" s="230"/>
      <c r="R701" s="230"/>
    </row>
    <row r="702" spans="1:18" s="225" customFormat="1" hidden="1" x14ac:dyDescent="0.2">
      <c r="A702" s="270"/>
      <c r="B702" s="270"/>
      <c r="C702" s="280"/>
      <c r="D702" s="281"/>
      <c r="E702" s="271"/>
      <c r="F702" s="271"/>
      <c r="G702" s="271"/>
      <c r="H702" s="271"/>
      <c r="I702" s="271"/>
      <c r="J702" s="271"/>
      <c r="K702" s="271"/>
      <c r="L702" s="271"/>
      <c r="M702" s="271"/>
      <c r="N702" s="271"/>
      <c r="O702" s="273"/>
      <c r="Q702" s="230"/>
      <c r="R702" s="230"/>
    </row>
    <row r="703" spans="1:18" s="225" customFormat="1" hidden="1" x14ac:dyDescent="0.2">
      <c r="A703" s="270"/>
      <c r="B703" s="270"/>
      <c r="C703" s="280"/>
      <c r="D703" s="281"/>
      <c r="E703" s="271"/>
      <c r="F703" s="271"/>
      <c r="G703" s="271"/>
      <c r="H703" s="271"/>
      <c r="I703" s="271"/>
      <c r="J703" s="271"/>
      <c r="K703" s="271"/>
      <c r="L703" s="271"/>
      <c r="M703" s="271"/>
      <c r="N703" s="271"/>
      <c r="O703" s="273"/>
      <c r="Q703" s="230"/>
      <c r="R703" s="230"/>
    </row>
    <row r="704" spans="1:18" s="225" customFormat="1" hidden="1" x14ac:dyDescent="0.2">
      <c r="A704" s="270"/>
      <c r="B704" s="270"/>
      <c r="C704" s="280"/>
      <c r="D704" s="281"/>
      <c r="E704" s="271"/>
      <c r="F704" s="271"/>
      <c r="G704" s="271"/>
      <c r="H704" s="271"/>
      <c r="I704" s="271"/>
      <c r="J704" s="271"/>
      <c r="K704" s="271"/>
      <c r="L704" s="271"/>
      <c r="M704" s="271"/>
      <c r="N704" s="271"/>
      <c r="O704" s="273"/>
      <c r="Q704" s="230"/>
      <c r="R704" s="230"/>
    </row>
    <row r="705" spans="1:18" s="225" customFormat="1" hidden="1" x14ac:dyDescent="0.2">
      <c r="A705" s="270"/>
      <c r="B705" s="270"/>
      <c r="C705" s="280"/>
      <c r="D705" s="281"/>
      <c r="E705" s="271"/>
      <c r="F705" s="271"/>
      <c r="G705" s="271"/>
      <c r="H705" s="271"/>
      <c r="I705" s="271"/>
      <c r="J705" s="271"/>
      <c r="K705" s="271"/>
      <c r="L705" s="271"/>
      <c r="M705" s="271"/>
      <c r="N705" s="271"/>
      <c r="O705" s="273"/>
      <c r="Q705" s="230"/>
      <c r="R705" s="230"/>
    </row>
    <row r="706" spans="1:18" s="225" customFormat="1" hidden="1" x14ac:dyDescent="0.2">
      <c r="A706" s="270"/>
      <c r="B706" s="270"/>
      <c r="C706" s="280"/>
      <c r="D706" s="281"/>
      <c r="E706" s="271"/>
      <c r="F706" s="271"/>
      <c r="G706" s="271"/>
      <c r="H706" s="271"/>
      <c r="I706" s="271"/>
      <c r="J706" s="271"/>
      <c r="K706" s="271"/>
      <c r="L706" s="271"/>
      <c r="M706" s="271"/>
      <c r="N706" s="271"/>
      <c r="O706" s="273"/>
      <c r="Q706" s="230"/>
      <c r="R706" s="230"/>
    </row>
    <row r="707" spans="1:18" s="225" customFormat="1" hidden="1" x14ac:dyDescent="0.2">
      <c r="A707" s="270"/>
      <c r="B707" s="270"/>
      <c r="C707" s="280"/>
      <c r="D707" s="281"/>
      <c r="E707" s="271"/>
      <c r="F707" s="271"/>
      <c r="G707" s="271"/>
      <c r="H707" s="271"/>
      <c r="I707" s="271"/>
      <c r="J707" s="271"/>
      <c r="K707" s="271"/>
      <c r="L707" s="271"/>
      <c r="M707" s="271"/>
      <c r="N707" s="271"/>
      <c r="O707" s="273"/>
      <c r="Q707" s="230"/>
      <c r="R707" s="230"/>
    </row>
    <row r="708" spans="1:18" s="225" customFormat="1" hidden="1" x14ac:dyDescent="0.2">
      <c r="A708" s="270"/>
      <c r="B708" s="270"/>
      <c r="C708" s="280"/>
      <c r="D708" s="281"/>
      <c r="E708" s="271"/>
      <c r="F708" s="271"/>
      <c r="G708" s="271"/>
      <c r="H708" s="271"/>
      <c r="I708" s="271"/>
      <c r="J708" s="271"/>
      <c r="K708" s="271"/>
      <c r="L708" s="271"/>
      <c r="M708" s="271"/>
      <c r="N708" s="271"/>
      <c r="O708" s="273"/>
      <c r="Q708" s="230"/>
      <c r="R708" s="230"/>
    </row>
    <row r="709" spans="1:18" s="225" customFormat="1" hidden="1" x14ac:dyDescent="0.2">
      <c r="A709" s="270"/>
      <c r="B709" s="270"/>
      <c r="C709" s="280"/>
      <c r="D709" s="281"/>
      <c r="E709" s="271"/>
      <c r="F709" s="271"/>
      <c r="G709" s="271"/>
      <c r="H709" s="271"/>
      <c r="I709" s="271"/>
      <c r="J709" s="271"/>
      <c r="K709" s="271"/>
      <c r="L709" s="271"/>
      <c r="M709" s="271"/>
      <c r="N709" s="271"/>
      <c r="O709" s="273"/>
      <c r="Q709" s="230"/>
      <c r="R709" s="230"/>
    </row>
    <row r="710" spans="1:18" s="225" customFormat="1" hidden="1" x14ac:dyDescent="0.2">
      <c r="A710" s="270"/>
      <c r="B710" s="270"/>
      <c r="C710" s="280"/>
      <c r="D710" s="281"/>
      <c r="E710" s="271"/>
      <c r="F710" s="271"/>
      <c r="G710" s="271"/>
      <c r="H710" s="271"/>
      <c r="I710" s="271"/>
      <c r="J710" s="271"/>
      <c r="K710" s="271"/>
      <c r="L710" s="271"/>
      <c r="M710" s="271"/>
      <c r="N710" s="271"/>
      <c r="O710" s="273"/>
      <c r="Q710" s="230"/>
      <c r="R710" s="230"/>
    </row>
    <row r="711" spans="1:18" s="225" customFormat="1" hidden="1" x14ac:dyDescent="0.2">
      <c r="A711" s="270"/>
      <c r="B711" s="270"/>
      <c r="C711" s="280"/>
      <c r="D711" s="281"/>
      <c r="E711" s="271"/>
      <c r="F711" s="271"/>
      <c r="G711" s="271"/>
      <c r="H711" s="271"/>
      <c r="I711" s="271"/>
      <c r="J711" s="271"/>
      <c r="K711" s="271"/>
      <c r="L711" s="271"/>
      <c r="M711" s="271"/>
      <c r="N711" s="271"/>
      <c r="O711" s="273"/>
      <c r="Q711" s="230"/>
      <c r="R711" s="230"/>
    </row>
    <row r="712" spans="1:18" s="225" customFormat="1" hidden="1" x14ac:dyDescent="0.2">
      <c r="A712" s="270"/>
      <c r="B712" s="270"/>
      <c r="C712" s="280"/>
      <c r="D712" s="281"/>
      <c r="E712" s="271"/>
      <c r="F712" s="271"/>
      <c r="G712" s="271"/>
      <c r="H712" s="271"/>
      <c r="I712" s="271"/>
      <c r="J712" s="271"/>
      <c r="K712" s="271"/>
      <c r="L712" s="271"/>
      <c r="M712" s="271"/>
      <c r="N712" s="271"/>
      <c r="O712" s="273"/>
      <c r="Q712" s="230"/>
      <c r="R712" s="230"/>
    </row>
    <row r="713" spans="1:18" s="225" customFormat="1" hidden="1" x14ac:dyDescent="0.2">
      <c r="A713" s="270"/>
      <c r="B713" s="270"/>
      <c r="C713" s="280"/>
      <c r="D713" s="281"/>
      <c r="E713" s="271"/>
      <c r="F713" s="271"/>
      <c r="G713" s="271"/>
      <c r="H713" s="271"/>
      <c r="I713" s="271"/>
      <c r="J713" s="271"/>
      <c r="K713" s="271"/>
      <c r="L713" s="271"/>
      <c r="M713" s="271"/>
      <c r="N713" s="271"/>
      <c r="O713" s="273"/>
      <c r="Q713" s="230"/>
      <c r="R713" s="230"/>
    </row>
    <row r="714" spans="1:18" s="225" customFormat="1" hidden="1" x14ac:dyDescent="0.2">
      <c r="A714" s="270"/>
      <c r="B714" s="270"/>
      <c r="C714" s="280"/>
      <c r="D714" s="281"/>
      <c r="E714" s="271"/>
      <c r="F714" s="271"/>
      <c r="G714" s="271"/>
      <c r="H714" s="271"/>
      <c r="I714" s="271"/>
      <c r="J714" s="271"/>
      <c r="K714" s="271"/>
      <c r="L714" s="271"/>
      <c r="M714" s="271"/>
      <c r="N714" s="271"/>
      <c r="O714" s="273"/>
      <c r="Q714" s="230"/>
      <c r="R714" s="230"/>
    </row>
    <row r="715" spans="1:18" s="225" customFormat="1" hidden="1" x14ac:dyDescent="0.2">
      <c r="A715" s="270"/>
      <c r="B715" s="270"/>
      <c r="C715" s="280"/>
      <c r="D715" s="281"/>
      <c r="E715" s="271"/>
      <c r="F715" s="271"/>
      <c r="G715" s="271"/>
      <c r="H715" s="271"/>
      <c r="I715" s="271"/>
      <c r="J715" s="271"/>
      <c r="K715" s="271"/>
      <c r="L715" s="271"/>
      <c r="M715" s="271"/>
      <c r="N715" s="271"/>
      <c r="O715" s="273"/>
      <c r="Q715" s="230"/>
      <c r="R715" s="230"/>
    </row>
    <row r="716" spans="1:18" s="225" customFormat="1" hidden="1" x14ac:dyDescent="0.2">
      <c r="A716" s="270"/>
      <c r="B716" s="270"/>
      <c r="C716" s="280"/>
      <c r="D716" s="281"/>
      <c r="E716" s="271"/>
      <c r="F716" s="271"/>
      <c r="G716" s="271"/>
      <c r="H716" s="271"/>
      <c r="I716" s="271"/>
      <c r="J716" s="271"/>
      <c r="K716" s="271"/>
      <c r="L716" s="271"/>
      <c r="M716" s="271"/>
      <c r="N716" s="271"/>
      <c r="O716" s="273"/>
      <c r="Q716" s="230"/>
      <c r="R716" s="230"/>
    </row>
    <row r="717" spans="1:18" s="225" customFormat="1" hidden="1" x14ac:dyDescent="0.2">
      <c r="A717" s="270"/>
      <c r="B717" s="270"/>
      <c r="C717" s="280"/>
      <c r="D717" s="281"/>
      <c r="E717" s="271"/>
      <c r="F717" s="271"/>
      <c r="G717" s="271"/>
      <c r="H717" s="271"/>
      <c r="I717" s="271"/>
      <c r="J717" s="271"/>
      <c r="K717" s="271"/>
      <c r="L717" s="271"/>
      <c r="M717" s="271"/>
      <c r="N717" s="271"/>
      <c r="O717" s="273"/>
      <c r="Q717" s="230"/>
      <c r="R717" s="230"/>
    </row>
    <row r="718" spans="1:18" s="225" customFormat="1" hidden="1" x14ac:dyDescent="0.2">
      <c r="A718" s="270"/>
      <c r="B718" s="270"/>
      <c r="C718" s="280"/>
      <c r="D718" s="281"/>
      <c r="E718" s="271"/>
      <c r="F718" s="271"/>
      <c r="G718" s="271"/>
      <c r="H718" s="271"/>
      <c r="I718" s="271"/>
      <c r="J718" s="271"/>
      <c r="K718" s="271"/>
      <c r="L718" s="271"/>
      <c r="M718" s="271"/>
      <c r="N718" s="271"/>
      <c r="O718" s="273"/>
      <c r="Q718" s="230"/>
      <c r="R718" s="230"/>
    </row>
    <row r="719" spans="1:18" s="225" customFormat="1" hidden="1" x14ac:dyDescent="0.2">
      <c r="A719" s="270"/>
      <c r="B719" s="270"/>
      <c r="C719" s="280"/>
      <c r="D719" s="281"/>
      <c r="E719" s="271"/>
      <c r="F719" s="271"/>
      <c r="G719" s="271"/>
      <c r="H719" s="271"/>
      <c r="I719" s="271"/>
      <c r="J719" s="271"/>
      <c r="K719" s="271"/>
      <c r="L719" s="271"/>
      <c r="M719" s="271"/>
      <c r="N719" s="271"/>
      <c r="O719" s="273"/>
      <c r="Q719" s="230"/>
      <c r="R719" s="230"/>
    </row>
    <row r="720" spans="1:18" s="225" customFormat="1" hidden="1" x14ac:dyDescent="0.2">
      <c r="A720" s="270"/>
      <c r="B720" s="270"/>
      <c r="C720" s="280"/>
      <c r="D720" s="281"/>
      <c r="E720" s="271"/>
      <c r="F720" s="271"/>
      <c r="G720" s="271"/>
      <c r="H720" s="271"/>
      <c r="I720" s="271"/>
      <c r="J720" s="271"/>
      <c r="K720" s="271"/>
      <c r="L720" s="271"/>
      <c r="M720" s="271"/>
      <c r="N720" s="271"/>
      <c r="O720" s="273"/>
      <c r="Q720" s="230"/>
      <c r="R720" s="230"/>
    </row>
    <row r="721" spans="1:18" s="225" customFormat="1" hidden="1" x14ac:dyDescent="0.2">
      <c r="A721" s="270"/>
      <c r="B721" s="270"/>
      <c r="C721" s="280"/>
      <c r="D721" s="281"/>
      <c r="E721" s="271"/>
      <c r="F721" s="271"/>
      <c r="G721" s="271"/>
      <c r="H721" s="271"/>
      <c r="I721" s="271"/>
      <c r="J721" s="271"/>
      <c r="K721" s="271"/>
      <c r="L721" s="271"/>
      <c r="M721" s="271"/>
      <c r="N721" s="271"/>
      <c r="O721" s="273"/>
      <c r="Q721" s="230"/>
      <c r="R721" s="230"/>
    </row>
    <row r="722" spans="1:18" s="225" customFormat="1" hidden="1" x14ac:dyDescent="0.2">
      <c r="A722" s="270"/>
      <c r="B722" s="270"/>
      <c r="C722" s="280"/>
      <c r="D722" s="281"/>
      <c r="E722" s="271"/>
      <c r="F722" s="271"/>
      <c r="G722" s="271"/>
      <c r="H722" s="271"/>
      <c r="I722" s="271"/>
      <c r="J722" s="271"/>
      <c r="K722" s="271"/>
      <c r="L722" s="271"/>
      <c r="M722" s="271"/>
      <c r="N722" s="271"/>
      <c r="O722" s="273"/>
      <c r="Q722" s="230"/>
      <c r="R722" s="230"/>
    </row>
    <row r="723" spans="1:18" s="225" customFormat="1" hidden="1" x14ac:dyDescent="0.2">
      <c r="A723" s="270"/>
      <c r="B723" s="270"/>
      <c r="C723" s="280"/>
      <c r="D723" s="281"/>
      <c r="E723" s="271"/>
      <c r="F723" s="271"/>
      <c r="G723" s="271"/>
      <c r="H723" s="271"/>
      <c r="I723" s="271"/>
      <c r="J723" s="271"/>
      <c r="K723" s="271"/>
      <c r="L723" s="271"/>
      <c r="M723" s="271"/>
      <c r="N723" s="271"/>
      <c r="O723" s="273"/>
      <c r="Q723" s="230"/>
      <c r="R723" s="230"/>
    </row>
    <row r="724" spans="1:18" s="225" customFormat="1" hidden="1" x14ac:dyDescent="0.2">
      <c r="A724" s="270"/>
      <c r="B724" s="270"/>
      <c r="C724" s="280"/>
      <c r="D724" s="281"/>
      <c r="E724" s="271"/>
      <c r="F724" s="271"/>
      <c r="G724" s="271"/>
      <c r="H724" s="271"/>
      <c r="I724" s="271"/>
      <c r="J724" s="271"/>
      <c r="K724" s="271"/>
      <c r="L724" s="271"/>
      <c r="M724" s="271"/>
      <c r="N724" s="271"/>
      <c r="O724" s="273"/>
      <c r="Q724" s="230"/>
      <c r="R724" s="230"/>
    </row>
    <row r="725" spans="1:18" s="225" customFormat="1" hidden="1" x14ac:dyDescent="0.2">
      <c r="A725" s="270"/>
      <c r="B725" s="270"/>
      <c r="C725" s="280"/>
      <c r="D725" s="281"/>
      <c r="E725" s="271"/>
      <c r="F725" s="271"/>
      <c r="G725" s="271"/>
      <c r="H725" s="271"/>
      <c r="I725" s="271"/>
      <c r="J725" s="271"/>
      <c r="K725" s="271"/>
      <c r="L725" s="271"/>
      <c r="M725" s="271"/>
      <c r="N725" s="271"/>
      <c r="O725" s="273"/>
      <c r="Q725" s="230"/>
      <c r="R725" s="230"/>
    </row>
    <row r="726" spans="1:18" s="225" customFormat="1" hidden="1" x14ac:dyDescent="0.2">
      <c r="A726" s="270"/>
      <c r="B726" s="270"/>
      <c r="C726" s="280"/>
      <c r="D726" s="281"/>
      <c r="E726" s="271"/>
      <c r="F726" s="271"/>
      <c r="G726" s="271"/>
      <c r="H726" s="271"/>
      <c r="I726" s="271"/>
      <c r="J726" s="271"/>
      <c r="K726" s="271"/>
      <c r="L726" s="271"/>
      <c r="M726" s="271"/>
      <c r="N726" s="271"/>
      <c r="O726" s="273"/>
      <c r="Q726" s="230"/>
      <c r="R726" s="230"/>
    </row>
    <row r="727" spans="1:18" s="225" customFormat="1" hidden="1" x14ac:dyDescent="0.2">
      <c r="A727" s="270"/>
      <c r="B727" s="270"/>
      <c r="C727" s="280"/>
      <c r="D727" s="281"/>
      <c r="E727" s="271"/>
      <c r="F727" s="271"/>
      <c r="G727" s="271"/>
      <c r="H727" s="271"/>
      <c r="I727" s="271"/>
      <c r="J727" s="271"/>
      <c r="K727" s="271"/>
      <c r="L727" s="271"/>
      <c r="M727" s="271"/>
      <c r="N727" s="271"/>
      <c r="O727" s="273"/>
      <c r="Q727" s="230"/>
      <c r="R727" s="230"/>
    </row>
    <row r="728" spans="1:18" s="225" customFormat="1" hidden="1" x14ac:dyDescent="0.2">
      <c r="A728" s="270"/>
      <c r="B728" s="270"/>
      <c r="C728" s="280"/>
      <c r="D728" s="281"/>
      <c r="E728" s="271"/>
      <c r="F728" s="271"/>
      <c r="G728" s="271"/>
      <c r="H728" s="271"/>
      <c r="I728" s="271"/>
      <c r="J728" s="271"/>
      <c r="K728" s="271"/>
      <c r="L728" s="271"/>
      <c r="M728" s="271"/>
      <c r="N728" s="271"/>
      <c r="O728" s="273"/>
      <c r="Q728" s="230"/>
      <c r="R728" s="230"/>
    </row>
    <row r="729" spans="1:18" s="225" customFormat="1" hidden="1" x14ac:dyDescent="0.2">
      <c r="A729" s="270"/>
      <c r="B729" s="270"/>
      <c r="C729" s="280"/>
      <c r="D729" s="281"/>
      <c r="E729" s="271"/>
      <c r="F729" s="271"/>
      <c r="G729" s="271"/>
      <c r="H729" s="271"/>
      <c r="I729" s="271"/>
      <c r="J729" s="271"/>
      <c r="K729" s="271"/>
      <c r="L729" s="271"/>
      <c r="M729" s="271"/>
      <c r="N729" s="271"/>
      <c r="O729" s="273"/>
      <c r="Q729" s="230"/>
      <c r="R729" s="230"/>
    </row>
    <row r="730" spans="1:18" s="225" customFormat="1" hidden="1" x14ac:dyDescent="0.2">
      <c r="A730" s="270"/>
      <c r="B730" s="270"/>
      <c r="C730" s="280"/>
      <c r="D730" s="281"/>
      <c r="E730" s="271"/>
      <c r="F730" s="271"/>
      <c r="G730" s="271"/>
      <c r="H730" s="271"/>
      <c r="I730" s="271"/>
      <c r="J730" s="271"/>
      <c r="K730" s="271"/>
      <c r="L730" s="271"/>
      <c r="M730" s="271"/>
      <c r="N730" s="271"/>
      <c r="O730" s="273"/>
      <c r="Q730" s="230"/>
      <c r="R730" s="230"/>
    </row>
    <row r="731" spans="1:18" s="225" customFormat="1" hidden="1" x14ac:dyDescent="0.2">
      <c r="A731" s="270"/>
      <c r="B731" s="270"/>
      <c r="C731" s="280"/>
      <c r="D731" s="281"/>
      <c r="E731" s="271"/>
      <c r="F731" s="271"/>
      <c r="G731" s="271"/>
      <c r="H731" s="271"/>
      <c r="I731" s="271"/>
      <c r="J731" s="271"/>
      <c r="K731" s="271"/>
      <c r="L731" s="271"/>
      <c r="M731" s="271"/>
      <c r="N731" s="271"/>
      <c r="O731" s="273"/>
      <c r="Q731" s="230"/>
      <c r="R731" s="230"/>
    </row>
    <row r="732" spans="1:18" s="225" customFormat="1" hidden="1" x14ac:dyDescent="0.2">
      <c r="A732" s="270"/>
      <c r="B732" s="270"/>
      <c r="C732" s="280"/>
      <c r="D732" s="281"/>
      <c r="E732" s="271"/>
      <c r="F732" s="271"/>
      <c r="G732" s="271"/>
      <c r="H732" s="271"/>
      <c r="I732" s="271"/>
      <c r="J732" s="271"/>
      <c r="K732" s="271"/>
      <c r="L732" s="271"/>
      <c r="M732" s="271"/>
      <c r="N732" s="271"/>
      <c r="O732" s="273"/>
      <c r="Q732" s="230"/>
      <c r="R732" s="230"/>
    </row>
    <row r="733" spans="1:18" s="225" customFormat="1" hidden="1" x14ac:dyDescent="0.2">
      <c r="A733" s="270"/>
      <c r="B733" s="270"/>
      <c r="C733" s="280"/>
      <c r="D733" s="281"/>
      <c r="E733" s="271"/>
      <c r="F733" s="271"/>
      <c r="G733" s="271"/>
      <c r="H733" s="271"/>
      <c r="I733" s="271"/>
      <c r="J733" s="271"/>
      <c r="K733" s="271"/>
      <c r="L733" s="271"/>
      <c r="M733" s="271"/>
      <c r="N733" s="271"/>
      <c r="O733" s="273"/>
      <c r="Q733" s="230"/>
      <c r="R733" s="230"/>
    </row>
    <row r="734" spans="1:18" s="225" customFormat="1" hidden="1" x14ac:dyDescent="0.2">
      <c r="A734" s="270"/>
      <c r="B734" s="270"/>
      <c r="C734" s="280"/>
      <c r="D734" s="281"/>
      <c r="E734" s="271"/>
      <c r="F734" s="271"/>
      <c r="G734" s="271"/>
      <c r="H734" s="271"/>
      <c r="I734" s="271"/>
      <c r="J734" s="271"/>
      <c r="K734" s="271"/>
      <c r="L734" s="271"/>
      <c r="M734" s="271"/>
      <c r="N734" s="271"/>
      <c r="O734" s="273"/>
      <c r="Q734" s="230"/>
      <c r="R734" s="230"/>
    </row>
    <row r="735" spans="1:18" s="225" customFormat="1" hidden="1" x14ac:dyDescent="0.2">
      <c r="A735" s="270"/>
      <c r="B735" s="270"/>
      <c r="C735" s="280"/>
      <c r="D735" s="281"/>
      <c r="E735" s="271"/>
      <c r="F735" s="271"/>
      <c r="G735" s="271"/>
      <c r="H735" s="271"/>
      <c r="I735" s="271"/>
      <c r="J735" s="271"/>
      <c r="K735" s="271"/>
      <c r="L735" s="271"/>
      <c r="M735" s="271"/>
      <c r="N735" s="271"/>
      <c r="O735" s="273"/>
      <c r="Q735" s="230"/>
      <c r="R735" s="230"/>
    </row>
    <row r="736" spans="1:18" s="225" customFormat="1" hidden="1" x14ac:dyDescent="0.2">
      <c r="A736" s="270"/>
      <c r="B736" s="270"/>
      <c r="C736" s="280"/>
      <c r="D736" s="281"/>
      <c r="E736" s="271"/>
      <c r="F736" s="271"/>
      <c r="G736" s="271"/>
      <c r="H736" s="271"/>
      <c r="I736" s="271"/>
      <c r="J736" s="271"/>
      <c r="K736" s="271"/>
      <c r="L736" s="271"/>
      <c r="M736" s="271"/>
      <c r="N736" s="271"/>
      <c r="O736" s="273"/>
      <c r="Q736" s="230"/>
      <c r="R736" s="230"/>
    </row>
    <row r="737" spans="1:18" s="225" customFormat="1" hidden="1" x14ac:dyDescent="0.2">
      <c r="A737" s="270"/>
      <c r="B737" s="270"/>
      <c r="C737" s="280"/>
      <c r="D737" s="281"/>
      <c r="E737" s="271"/>
      <c r="F737" s="271"/>
      <c r="G737" s="271"/>
      <c r="H737" s="271"/>
      <c r="I737" s="271"/>
      <c r="J737" s="271"/>
      <c r="K737" s="271"/>
      <c r="L737" s="271"/>
      <c r="M737" s="271"/>
      <c r="N737" s="271"/>
      <c r="O737" s="273"/>
      <c r="Q737" s="230"/>
      <c r="R737" s="230"/>
    </row>
    <row r="738" spans="1:18" s="225" customFormat="1" hidden="1" x14ac:dyDescent="0.2">
      <c r="A738" s="270"/>
      <c r="B738" s="270"/>
      <c r="C738" s="280"/>
      <c r="D738" s="281"/>
      <c r="E738" s="271"/>
      <c r="F738" s="271"/>
      <c r="G738" s="271"/>
      <c r="H738" s="271"/>
      <c r="I738" s="271"/>
      <c r="J738" s="271"/>
      <c r="K738" s="271"/>
      <c r="L738" s="271"/>
      <c r="M738" s="271"/>
      <c r="N738" s="271"/>
      <c r="O738" s="273"/>
      <c r="Q738" s="230"/>
      <c r="R738" s="230"/>
    </row>
    <row r="739" spans="1:18" s="225" customFormat="1" hidden="1" x14ac:dyDescent="0.2">
      <c r="A739" s="270"/>
      <c r="B739" s="270"/>
      <c r="C739" s="280"/>
      <c r="D739" s="281"/>
      <c r="E739" s="271"/>
      <c r="F739" s="271"/>
      <c r="G739" s="271"/>
      <c r="H739" s="271"/>
      <c r="I739" s="271"/>
      <c r="J739" s="271"/>
      <c r="K739" s="271"/>
      <c r="L739" s="271"/>
      <c r="M739" s="271"/>
      <c r="N739" s="271"/>
      <c r="O739" s="273"/>
      <c r="Q739" s="230"/>
      <c r="R739" s="230"/>
    </row>
    <row r="740" spans="1:18" s="225" customFormat="1" hidden="1" x14ac:dyDescent="0.2">
      <c r="A740" s="270"/>
      <c r="B740" s="270"/>
      <c r="C740" s="280"/>
      <c r="D740" s="281"/>
      <c r="E740" s="271"/>
      <c r="F740" s="271"/>
      <c r="G740" s="271"/>
      <c r="H740" s="271"/>
      <c r="I740" s="271"/>
      <c r="J740" s="271"/>
      <c r="K740" s="271"/>
      <c r="L740" s="271"/>
      <c r="M740" s="271"/>
      <c r="N740" s="271"/>
      <c r="O740" s="273"/>
      <c r="Q740" s="230"/>
      <c r="R740" s="230"/>
    </row>
    <row r="741" spans="1:18" s="225" customFormat="1" hidden="1" x14ac:dyDescent="0.2">
      <c r="A741" s="270"/>
      <c r="B741" s="270"/>
      <c r="C741" s="280"/>
      <c r="D741" s="281"/>
      <c r="E741" s="271"/>
      <c r="F741" s="271"/>
      <c r="G741" s="271"/>
      <c r="H741" s="271"/>
      <c r="I741" s="271"/>
      <c r="J741" s="271"/>
      <c r="K741" s="271"/>
      <c r="L741" s="271"/>
      <c r="M741" s="271"/>
      <c r="N741" s="271"/>
      <c r="O741" s="273"/>
      <c r="Q741" s="230"/>
      <c r="R741" s="230"/>
    </row>
    <row r="742" spans="1:18" s="225" customFormat="1" hidden="1" x14ac:dyDescent="0.2">
      <c r="A742" s="270"/>
      <c r="B742" s="270"/>
      <c r="C742" s="280"/>
      <c r="D742" s="281"/>
      <c r="E742" s="271"/>
      <c r="F742" s="271"/>
      <c r="G742" s="271"/>
      <c r="H742" s="271"/>
      <c r="I742" s="271"/>
      <c r="J742" s="271"/>
      <c r="K742" s="271"/>
      <c r="L742" s="271"/>
      <c r="M742" s="271"/>
      <c r="N742" s="271"/>
      <c r="O742" s="273"/>
      <c r="Q742" s="230"/>
      <c r="R742" s="230"/>
    </row>
    <row r="743" spans="1:18" s="225" customFormat="1" hidden="1" x14ac:dyDescent="0.2">
      <c r="A743" s="270"/>
      <c r="B743" s="270"/>
      <c r="C743" s="280"/>
      <c r="D743" s="281"/>
      <c r="E743" s="271"/>
      <c r="F743" s="271"/>
      <c r="G743" s="271"/>
      <c r="H743" s="271"/>
      <c r="I743" s="271"/>
      <c r="J743" s="271"/>
      <c r="K743" s="271"/>
      <c r="L743" s="271"/>
      <c r="M743" s="271"/>
      <c r="N743" s="271"/>
      <c r="O743" s="273"/>
      <c r="Q743" s="230"/>
      <c r="R743" s="230"/>
    </row>
    <row r="744" spans="1:18" s="225" customFormat="1" hidden="1" x14ac:dyDescent="0.2">
      <c r="A744" s="270"/>
      <c r="B744" s="270"/>
      <c r="C744" s="280"/>
      <c r="D744" s="281"/>
      <c r="E744" s="271"/>
      <c r="F744" s="271"/>
      <c r="G744" s="271"/>
      <c r="H744" s="271"/>
      <c r="I744" s="271"/>
      <c r="J744" s="271"/>
      <c r="K744" s="271"/>
      <c r="L744" s="271"/>
      <c r="M744" s="271"/>
      <c r="N744" s="271"/>
      <c r="O744" s="273"/>
      <c r="Q744" s="230"/>
      <c r="R744" s="230"/>
    </row>
    <row r="745" spans="1:18" s="225" customFormat="1" hidden="1" x14ac:dyDescent="0.2">
      <c r="A745" s="270"/>
      <c r="B745" s="270"/>
      <c r="C745" s="280"/>
      <c r="D745" s="281"/>
      <c r="E745" s="271"/>
      <c r="F745" s="271"/>
      <c r="G745" s="271"/>
      <c r="H745" s="271"/>
      <c r="I745" s="271"/>
      <c r="J745" s="271"/>
      <c r="K745" s="271"/>
      <c r="L745" s="271"/>
      <c r="M745" s="271"/>
      <c r="N745" s="271"/>
      <c r="O745" s="273"/>
      <c r="Q745" s="230"/>
      <c r="R745" s="230"/>
    </row>
    <row r="746" spans="1:18" s="225" customFormat="1" hidden="1" x14ac:dyDescent="0.2">
      <c r="A746" s="270"/>
      <c r="B746" s="270"/>
      <c r="C746" s="280"/>
      <c r="D746" s="281"/>
      <c r="E746" s="271"/>
      <c r="F746" s="271"/>
      <c r="G746" s="271"/>
      <c r="H746" s="271"/>
      <c r="I746" s="271"/>
      <c r="J746" s="271"/>
      <c r="K746" s="271"/>
      <c r="L746" s="271"/>
      <c r="M746" s="271"/>
      <c r="N746" s="271"/>
      <c r="O746" s="273"/>
      <c r="Q746" s="230"/>
      <c r="R746" s="230"/>
    </row>
    <row r="747" spans="1:18" s="225" customFormat="1" hidden="1" x14ac:dyDescent="0.2">
      <c r="A747" s="270"/>
      <c r="B747" s="270"/>
      <c r="C747" s="280"/>
      <c r="D747" s="281"/>
      <c r="E747" s="271"/>
      <c r="F747" s="271"/>
      <c r="G747" s="271"/>
      <c r="H747" s="271"/>
      <c r="I747" s="271"/>
      <c r="J747" s="271"/>
      <c r="K747" s="271"/>
      <c r="L747" s="271"/>
      <c r="M747" s="271"/>
      <c r="N747" s="271"/>
      <c r="O747" s="273"/>
      <c r="Q747" s="230"/>
      <c r="R747" s="230"/>
    </row>
    <row r="748" spans="1:18" s="225" customFormat="1" hidden="1" x14ac:dyDescent="0.2">
      <c r="A748" s="270"/>
      <c r="B748" s="270"/>
      <c r="C748" s="280"/>
      <c r="D748" s="281"/>
      <c r="E748" s="271"/>
      <c r="F748" s="271"/>
      <c r="G748" s="271"/>
      <c r="H748" s="271"/>
      <c r="I748" s="271"/>
      <c r="J748" s="271"/>
      <c r="K748" s="271"/>
      <c r="L748" s="271"/>
      <c r="M748" s="271"/>
      <c r="N748" s="271"/>
      <c r="O748" s="273"/>
      <c r="Q748" s="230"/>
      <c r="R748" s="230"/>
    </row>
    <row r="749" spans="1:18" s="225" customFormat="1" hidden="1" x14ac:dyDescent="0.2">
      <c r="A749" s="270"/>
      <c r="B749" s="270"/>
      <c r="C749" s="280"/>
      <c r="D749" s="281"/>
      <c r="E749" s="271"/>
      <c r="F749" s="271"/>
      <c r="G749" s="271"/>
      <c r="H749" s="271"/>
      <c r="I749" s="271"/>
      <c r="J749" s="271"/>
      <c r="K749" s="271"/>
      <c r="L749" s="271"/>
      <c r="M749" s="271"/>
      <c r="N749" s="271"/>
      <c r="O749" s="273"/>
      <c r="Q749" s="230"/>
      <c r="R749" s="230"/>
    </row>
    <row r="750" spans="1:18" s="225" customFormat="1" hidden="1" x14ac:dyDescent="0.2">
      <c r="A750" s="270"/>
      <c r="B750" s="270"/>
      <c r="C750" s="280"/>
      <c r="D750" s="281"/>
      <c r="E750" s="271"/>
      <c r="F750" s="271"/>
      <c r="G750" s="271"/>
      <c r="H750" s="271"/>
      <c r="I750" s="271"/>
      <c r="J750" s="271"/>
      <c r="K750" s="271"/>
      <c r="L750" s="271"/>
      <c r="M750" s="271"/>
      <c r="N750" s="271"/>
      <c r="O750" s="273"/>
      <c r="Q750" s="230"/>
      <c r="R750" s="230"/>
    </row>
    <row r="751" spans="1:18" s="225" customFormat="1" hidden="1" x14ac:dyDescent="0.2">
      <c r="A751" s="270"/>
      <c r="B751" s="270"/>
      <c r="C751" s="280"/>
      <c r="D751" s="281"/>
      <c r="E751" s="271"/>
      <c r="F751" s="271"/>
      <c r="G751" s="271"/>
      <c r="H751" s="271"/>
      <c r="I751" s="271"/>
      <c r="J751" s="271"/>
      <c r="K751" s="271"/>
      <c r="L751" s="271"/>
      <c r="M751" s="271"/>
      <c r="N751" s="271"/>
      <c r="O751" s="273"/>
      <c r="Q751" s="230"/>
      <c r="R751" s="230"/>
    </row>
    <row r="752" spans="1:18" s="225" customFormat="1" hidden="1" x14ac:dyDescent="0.2">
      <c r="A752" s="270"/>
      <c r="B752" s="270"/>
      <c r="C752" s="280"/>
      <c r="D752" s="281"/>
      <c r="E752" s="271"/>
      <c r="F752" s="271"/>
      <c r="G752" s="271"/>
      <c r="H752" s="271"/>
      <c r="I752" s="271"/>
      <c r="J752" s="271"/>
      <c r="K752" s="271"/>
      <c r="L752" s="271"/>
      <c r="M752" s="271"/>
      <c r="N752" s="271"/>
      <c r="O752" s="273"/>
      <c r="Q752" s="230"/>
      <c r="R752" s="230"/>
    </row>
    <row r="753" spans="1:18" s="225" customFormat="1" hidden="1" x14ac:dyDescent="0.2">
      <c r="A753" s="270"/>
      <c r="B753" s="270"/>
      <c r="C753" s="280"/>
      <c r="D753" s="281"/>
      <c r="E753" s="271"/>
      <c r="F753" s="271"/>
      <c r="G753" s="271"/>
      <c r="H753" s="271"/>
      <c r="I753" s="271"/>
      <c r="J753" s="271"/>
      <c r="K753" s="271"/>
      <c r="L753" s="271"/>
      <c r="M753" s="271"/>
      <c r="N753" s="271"/>
      <c r="O753" s="273"/>
      <c r="Q753" s="230"/>
      <c r="R753" s="230"/>
    </row>
    <row r="754" spans="1:18" s="225" customFormat="1" hidden="1" x14ac:dyDescent="0.2">
      <c r="A754" s="270"/>
      <c r="B754" s="270"/>
      <c r="C754" s="280"/>
      <c r="D754" s="281"/>
      <c r="E754" s="271"/>
      <c r="F754" s="271"/>
      <c r="G754" s="271"/>
      <c r="H754" s="271"/>
      <c r="I754" s="271"/>
      <c r="J754" s="271"/>
      <c r="K754" s="271"/>
      <c r="L754" s="271"/>
      <c r="M754" s="271"/>
      <c r="N754" s="271"/>
      <c r="O754" s="273"/>
      <c r="Q754" s="230"/>
      <c r="R754" s="230"/>
    </row>
    <row r="755" spans="1:18" s="225" customFormat="1" hidden="1" x14ac:dyDescent="0.2">
      <c r="A755" s="270"/>
      <c r="B755" s="270"/>
      <c r="C755" s="280"/>
      <c r="D755" s="281"/>
      <c r="E755" s="271"/>
      <c r="F755" s="271"/>
      <c r="G755" s="271"/>
      <c r="H755" s="271"/>
      <c r="I755" s="271"/>
      <c r="J755" s="271"/>
      <c r="K755" s="271"/>
      <c r="L755" s="271"/>
      <c r="M755" s="271"/>
      <c r="N755" s="271"/>
      <c r="O755" s="273"/>
      <c r="Q755" s="230"/>
      <c r="R755" s="230"/>
    </row>
    <row r="756" spans="1:18" s="225" customFormat="1" hidden="1" x14ac:dyDescent="0.2">
      <c r="A756" s="270"/>
      <c r="B756" s="270"/>
      <c r="C756" s="280"/>
      <c r="D756" s="281"/>
      <c r="E756" s="271"/>
      <c r="F756" s="271"/>
      <c r="G756" s="271"/>
      <c r="H756" s="271"/>
      <c r="I756" s="271"/>
      <c r="J756" s="271"/>
      <c r="K756" s="271"/>
      <c r="L756" s="271"/>
      <c r="M756" s="271"/>
      <c r="N756" s="271"/>
      <c r="O756" s="273"/>
      <c r="Q756" s="230"/>
      <c r="R756" s="230"/>
    </row>
    <row r="757" spans="1:18" s="225" customFormat="1" hidden="1" x14ac:dyDescent="0.2">
      <c r="A757" s="270"/>
      <c r="B757" s="270"/>
      <c r="C757" s="280"/>
      <c r="D757" s="281"/>
      <c r="E757" s="271"/>
      <c r="F757" s="271"/>
      <c r="G757" s="271"/>
      <c r="H757" s="271"/>
      <c r="I757" s="271"/>
      <c r="J757" s="271"/>
      <c r="K757" s="271"/>
      <c r="L757" s="271"/>
      <c r="M757" s="271"/>
      <c r="N757" s="271"/>
      <c r="O757" s="273"/>
      <c r="Q757" s="230"/>
      <c r="R757" s="230"/>
    </row>
    <row r="758" spans="1:18" s="225" customFormat="1" hidden="1" x14ac:dyDescent="0.2">
      <c r="A758" s="270"/>
      <c r="B758" s="270"/>
      <c r="C758" s="280"/>
      <c r="D758" s="281"/>
      <c r="E758" s="271"/>
      <c r="F758" s="271"/>
      <c r="G758" s="271"/>
      <c r="H758" s="271"/>
      <c r="I758" s="271"/>
      <c r="J758" s="271"/>
      <c r="K758" s="271"/>
      <c r="L758" s="271"/>
      <c r="M758" s="271"/>
      <c r="N758" s="271"/>
      <c r="O758" s="273"/>
      <c r="Q758" s="230"/>
      <c r="R758" s="230"/>
    </row>
    <row r="759" spans="1:18" s="225" customFormat="1" hidden="1" x14ac:dyDescent="0.2">
      <c r="A759" s="270"/>
      <c r="B759" s="270"/>
      <c r="C759" s="280"/>
      <c r="D759" s="281"/>
      <c r="E759" s="271"/>
      <c r="F759" s="271"/>
      <c r="G759" s="271"/>
      <c r="H759" s="271"/>
      <c r="I759" s="271"/>
      <c r="J759" s="271"/>
      <c r="K759" s="271"/>
      <c r="L759" s="271"/>
      <c r="M759" s="271"/>
      <c r="N759" s="271"/>
      <c r="O759" s="273"/>
      <c r="Q759" s="230"/>
      <c r="R759" s="230"/>
    </row>
    <row r="760" spans="1:18" s="225" customFormat="1" hidden="1" x14ac:dyDescent="0.2">
      <c r="A760" s="270"/>
      <c r="B760" s="270"/>
      <c r="C760" s="280"/>
      <c r="D760" s="281"/>
      <c r="E760" s="271"/>
      <c r="F760" s="271"/>
      <c r="G760" s="271"/>
      <c r="H760" s="271"/>
      <c r="I760" s="271"/>
      <c r="J760" s="271"/>
      <c r="K760" s="271"/>
      <c r="L760" s="271"/>
      <c r="M760" s="271"/>
      <c r="N760" s="271"/>
      <c r="O760" s="273"/>
      <c r="Q760" s="230"/>
      <c r="R760" s="230"/>
    </row>
    <row r="761" spans="1:18" s="225" customFormat="1" hidden="1" x14ac:dyDescent="0.2">
      <c r="A761" s="270"/>
      <c r="B761" s="270"/>
      <c r="C761" s="280"/>
      <c r="D761" s="281"/>
      <c r="E761" s="271"/>
      <c r="F761" s="271"/>
      <c r="G761" s="271"/>
      <c r="H761" s="271"/>
      <c r="I761" s="271"/>
      <c r="J761" s="271"/>
      <c r="K761" s="271"/>
      <c r="L761" s="271"/>
      <c r="M761" s="271"/>
      <c r="N761" s="271"/>
      <c r="O761" s="273"/>
      <c r="Q761" s="230"/>
      <c r="R761" s="230"/>
    </row>
    <row r="762" spans="1:18" s="225" customFormat="1" hidden="1" x14ac:dyDescent="0.2">
      <c r="A762" s="270"/>
      <c r="B762" s="270"/>
      <c r="C762" s="280"/>
      <c r="D762" s="281"/>
      <c r="E762" s="271"/>
      <c r="F762" s="271"/>
      <c r="G762" s="271"/>
      <c r="H762" s="271"/>
      <c r="I762" s="271"/>
      <c r="J762" s="271"/>
      <c r="K762" s="271"/>
      <c r="L762" s="271"/>
      <c r="M762" s="271"/>
      <c r="N762" s="271"/>
      <c r="O762" s="273"/>
      <c r="Q762" s="230"/>
      <c r="R762" s="230"/>
    </row>
    <row r="763" spans="1:18" s="225" customFormat="1" hidden="1" x14ac:dyDescent="0.2">
      <c r="A763" s="270"/>
      <c r="B763" s="270"/>
      <c r="C763" s="280"/>
      <c r="D763" s="281"/>
      <c r="E763" s="271"/>
      <c r="F763" s="271"/>
      <c r="G763" s="271"/>
      <c r="H763" s="271"/>
      <c r="I763" s="271"/>
      <c r="J763" s="271"/>
      <c r="K763" s="271"/>
      <c r="L763" s="271"/>
      <c r="M763" s="271"/>
      <c r="N763" s="271"/>
      <c r="O763" s="273"/>
      <c r="Q763" s="230"/>
      <c r="R763" s="230"/>
    </row>
    <row r="764" spans="1:18" s="225" customFormat="1" hidden="1" x14ac:dyDescent="0.2">
      <c r="A764" s="270"/>
      <c r="B764" s="270"/>
      <c r="C764" s="280"/>
      <c r="D764" s="281"/>
      <c r="E764" s="271"/>
      <c r="F764" s="271"/>
      <c r="G764" s="271"/>
      <c r="H764" s="271"/>
      <c r="I764" s="271"/>
      <c r="J764" s="271"/>
      <c r="K764" s="271"/>
      <c r="L764" s="271"/>
      <c r="M764" s="271"/>
      <c r="N764" s="271"/>
      <c r="O764" s="273"/>
      <c r="Q764" s="230"/>
      <c r="R764" s="230"/>
    </row>
    <row r="765" spans="1:18" s="225" customFormat="1" hidden="1" x14ac:dyDescent="0.2">
      <c r="A765" s="270"/>
      <c r="B765" s="270"/>
      <c r="C765" s="280"/>
      <c r="D765" s="281"/>
      <c r="E765" s="271"/>
      <c r="F765" s="271"/>
      <c r="G765" s="271"/>
      <c r="H765" s="271"/>
      <c r="I765" s="271"/>
      <c r="J765" s="271"/>
      <c r="K765" s="271"/>
      <c r="L765" s="271"/>
      <c r="M765" s="271"/>
      <c r="N765" s="271"/>
      <c r="O765" s="273"/>
      <c r="Q765" s="230"/>
      <c r="R765" s="230"/>
    </row>
    <row r="766" spans="1:18" s="225" customFormat="1" hidden="1" x14ac:dyDescent="0.2">
      <c r="A766" s="270"/>
      <c r="B766" s="270"/>
      <c r="C766" s="280"/>
      <c r="D766" s="281"/>
      <c r="E766" s="271"/>
      <c r="F766" s="271"/>
      <c r="G766" s="271"/>
      <c r="H766" s="271"/>
      <c r="I766" s="271"/>
      <c r="J766" s="271"/>
      <c r="K766" s="271"/>
      <c r="L766" s="271"/>
      <c r="M766" s="271"/>
      <c r="N766" s="271"/>
      <c r="O766" s="273"/>
      <c r="Q766" s="230"/>
      <c r="R766" s="230"/>
    </row>
    <row r="767" spans="1:18" s="225" customFormat="1" hidden="1" x14ac:dyDescent="0.2">
      <c r="A767" s="270"/>
      <c r="B767" s="270"/>
      <c r="C767" s="280"/>
      <c r="D767" s="281"/>
      <c r="E767" s="271"/>
      <c r="F767" s="271"/>
      <c r="G767" s="271"/>
      <c r="H767" s="271"/>
      <c r="I767" s="271"/>
      <c r="J767" s="271"/>
      <c r="K767" s="271"/>
      <c r="L767" s="271"/>
      <c r="M767" s="271"/>
      <c r="N767" s="271"/>
      <c r="O767" s="273"/>
      <c r="Q767" s="230"/>
      <c r="R767" s="230"/>
    </row>
    <row r="768" spans="1:18" s="225" customFormat="1" hidden="1" x14ac:dyDescent="0.2">
      <c r="A768" s="270"/>
      <c r="B768" s="270"/>
      <c r="C768" s="280"/>
      <c r="D768" s="281"/>
      <c r="E768" s="271"/>
      <c r="F768" s="271"/>
      <c r="G768" s="271"/>
      <c r="H768" s="271"/>
      <c r="I768" s="271"/>
      <c r="J768" s="271"/>
      <c r="K768" s="271"/>
      <c r="L768" s="271"/>
      <c r="M768" s="271"/>
      <c r="N768" s="271"/>
      <c r="O768" s="273"/>
      <c r="Q768" s="230"/>
      <c r="R768" s="230"/>
    </row>
    <row r="769" spans="1:18" s="225" customFormat="1" hidden="1" x14ac:dyDescent="0.2">
      <c r="A769" s="270"/>
      <c r="B769" s="270"/>
      <c r="C769" s="280"/>
      <c r="D769" s="281"/>
      <c r="E769" s="271"/>
      <c r="F769" s="271"/>
      <c r="G769" s="271"/>
      <c r="H769" s="271"/>
      <c r="I769" s="271"/>
      <c r="J769" s="271"/>
      <c r="K769" s="271"/>
      <c r="L769" s="271"/>
      <c r="M769" s="271"/>
      <c r="N769" s="271"/>
      <c r="O769" s="273"/>
      <c r="Q769" s="230"/>
      <c r="R769" s="230"/>
    </row>
    <row r="770" spans="1:18" s="225" customFormat="1" hidden="1" x14ac:dyDescent="0.2">
      <c r="A770" s="270"/>
      <c r="B770" s="270"/>
      <c r="C770" s="280"/>
      <c r="D770" s="281"/>
      <c r="E770" s="271"/>
      <c r="F770" s="271"/>
      <c r="G770" s="271"/>
      <c r="H770" s="271"/>
      <c r="I770" s="271"/>
      <c r="J770" s="271"/>
      <c r="K770" s="271"/>
      <c r="L770" s="271"/>
      <c r="M770" s="271"/>
      <c r="N770" s="271"/>
      <c r="O770" s="273"/>
      <c r="Q770" s="230"/>
      <c r="R770" s="230"/>
    </row>
    <row r="771" spans="1:18" s="225" customFormat="1" hidden="1" x14ac:dyDescent="0.2">
      <c r="A771" s="270"/>
      <c r="B771" s="270"/>
      <c r="C771" s="280"/>
      <c r="D771" s="281"/>
      <c r="E771" s="271"/>
      <c r="F771" s="271"/>
      <c r="G771" s="271"/>
      <c r="H771" s="271"/>
      <c r="I771" s="271"/>
      <c r="J771" s="271"/>
      <c r="K771" s="271"/>
      <c r="L771" s="271"/>
      <c r="M771" s="271"/>
      <c r="N771" s="271"/>
      <c r="O771" s="273"/>
      <c r="Q771" s="230"/>
      <c r="R771" s="230"/>
    </row>
    <row r="772" spans="1:18" s="225" customFormat="1" hidden="1" x14ac:dyDescent="0.2">
      <c r="A772" s="270"/>
      <c r="B772" s="270"/>
      <c r="C772" s="280"/>
      <c r="D772" s="281"/>
      <c r="E772" s="271"/>
      <c r="F772" s="271"/>
      <c r="G772" s="271"/>
      <c r="H772" s="271"/>
      <c r="I772" s="271"/>
      <c r="J772" s="271"/>
      <c r="K772" s="271"/>
      <c r="L772" s="271"/>
      <c r="M772" s="271"/>
      <c r="N772" s="271"/>
      <c r="O772" s="273"/>
      <c r="Q772" s="230"/>
      <c r="R772" s="230"/>
    </row>
    <row r="773" spans="1:18" s="225" customFormat="1" hidden="1" x14ac:dyDescent="0.2">
      <c r="A773" s="270"/>
      <c r="B773" s="270"/>
      <c r="C773" s="280"/>
      <c r="D773" s="281"/>
      <c r="E773" s="271"/>
      <c r="F773" s="271"/>
      <c r="G773" s="271"/>
      <c r="H773" s="271"/>
      <c r="I773" s="271"/>
      <c r="J773" s="271"/>
      <c r="K773" s="271"/>
      <c r="L773" s="271"/>
      <c r="M773" s="271"/>
      <c r="N773" s="271"/>
      <c r="O773" s="273"/>
      <c r="Q773" s="230"/>
      <c r="R773" s="230"/>
    </row>
    <row r="774" spans="1:18" s="225" customFormat="1" hidden="1" x14ac:dyDescent="0.2">
      <c r="A774" s="270"/>
      <c r="B774" s="270"/>
      <c r="C774" s="280"/>
      <c r="D774" s="281"/>
      <c r="E774" s="271"/>
      <c r="F774" s="271"/>
      <c r="G774" s="271"/>
      <c r="H774" s="271"/>
      <c r="I774" s="271"/>
      <c r="J774" s="271"/>
      <c r="K774" s="271"/>
      <c r="L774" s="271"/>
      <c r="M774" s="271"/>
      <c r="N774" s="271"/>
      <c r="O774" s="273"/>
      <c r="Q774" s="230"/>
      <c r="R774" s="230"/>
    </row>
    <row r="775" spans="1:18" s="225" customFormat="1" hidden="1" x14ac:dyDescent="0.2">
      <c r="A775" s="270"/>
      <c r="B775" s="270"/>
      <c r="C775" s="280"/>
      <c r="D775" s="281"/>
      <c r="E775" s="271"/>
      <c r="F775" s="271"/>
      <c r="G775" s="271"/>
      <c r="H775" s="271"/>
      <c r="I775" s="271"/>
      <c r="J775" s="271"/>
      <c r="K775" s="271"/>
      <c r="L775" s="271"/>
      <c r="M775" s="271"/>
      <c r="N775" s="271"/>
      <c r="O775" s="273"/>
      <c r="Q775" s="230"/>
      <c r="R775" s="230"/>
    </row>
    <row r="776" spans="1:18" s="225" customFormat="1" hidden="1" x14ac:dyDescent="0.2">
      <c r="A776" s="270"/>
      <c r="B776" s="270"/>
      <c r="C776" s="280"/>
      <c r="D776" s="281"/>
      <c r="E776" s="271"/>
      <c r="F776" s="271"/>
      <c r="G776" s="271"/>
      <c r="H776" s="271"/>
      <c r="I776" s="271"/>
      <c r="J776" s="271"/>
      <c r="K776" s="271"/>
      <c r="L776" s="271"/>
      <c r="M776" s="271"/>
      <c r="N776" s="271"/>
      <c r="O776" s="273"/>
      <c r="Q776" s="230"/>
      <c r="R776" s="230"/>
    </row>
    <row r="777" spans="1:18" s="225" customFormat="1" hidden="1" x14ac:dyDescent="0.2">
      <c r="A777" s="270"/>
      <c r="B777" s="270"/>
      <c r="C777" s="280"/>
      <c r="D777" s="281"/>
      <c r="E777" s="271"/>
      <c r="F777" s="271"/>
      <c r="G777" s="271"/>
      <c r="H777" s="271"/>
      <c r="I777" s="271"/>
      <c r="J777" s="271"/>
      <c r="K777" s="271"/>
      <c r="L777" s="271"/>
      <c r="M777" s="271"/>
      <c r="N777" s="271"/>
      <c r="O777" s="273"/>
      <c r="Q777" s="230"/>
      <c r="R777" s="230"/>
    </row>
    <row r="778" spans="1:18" s="225" customFormat="1" hidden="1" x14ac:dyDescent="0.2">
      <c r="A778" s="270"/>
      <c r="B778" s="270"/>
      <c r="C778" s="280"/>
      <c r="D778" s="281"/>
      <c r="E778" s="271"/>
      <c r="F778" s="271"/>
      <c r="G778" s="271"/>
      <c r="H778" s="271"/>
      <c r="I778" s="271"/>
      <c r="J778" s="271"/>
      <c r="K778" s="271"/>
      <c r="L778" s="271"/>
      <c r="M778" s="271"/>
      <c r="N778" s="271"/>
      <c r="O778" s="273"/>
      <c r="Q778" s="230"/>
      <c r="R778" s="230"/>
    </row>
    <row r="779" spans="1:18" s="225" customFormat="1" hidden="1" x14ac:dyDescent="0.2">
      <c r="A779" s="270"/>
      <c r="B779" s="270"/>
      <c r="C779" s="280"/>
      <c r="D779" s="281"/>
      <c r="E779" s="271"/>
      <c r="F779" s="271"/>
      <c r="G779" s="271"/>
      <c r="H779" s="271"/>
      <c r="I779" s="271"/>
      <c r="J779" s="271"/>
      <c r="K779" s="271"/>
      <c r="L779" s="271"/>
      <c r="M779" s="271"/>
      <c r="N779" s="271"/>
      <c r="O779" s="273"/>
      <c r="Q779" s="230"/>
      <c r="R779" s="230"/>
    </row>
    <row r="780" spans="1:18" s="225" customFormat="1" hidden="1" x14ac:dyDescent="0.2">
      <c r="A780" s="270"/>
      <c r="B780" s="270"/>
      <c r="C780" s="280"/>
      <c r="D780" s="281"/>
      <c r="E780" s="271"/>
      <c r="F780" s="271"/>
      <c r="G780" s="271"/>
      <c r="H780" s="271"/>
      <c r="I780" s="271"/>
      <c r="J780" s="271"/>
      <c r="K780" s="271"/>
      <c r="L780" s="271"/>
      <c r="M780" s="271"/>
      <c r="N780" s="271"/>
      <c r="O780" s="273"/>
      <c r="Q780" s="230"/>
      <c r="R780" s="230"/>
    </row>
    <row r="781" spans="1:18" s="225" customFormat="1" hidden="1" x14ac:dyDescent="0.2">
      <c r="A781" s="270"/>
      <c r="B781" s="270"/>
      <c r="C781" s="280"/>
      <c r="D781" s="281"/>
      <c r="E781" s="271"/>
      <c r="F781" s="271"/>
      <c r="G781" s="271"/>
      <c r="H781" s="271"/>
      <c r="I781" s="271"/>
      <c r="J781" s="271"/>
      <c r="K781" s="271"/>
      <c r="L781" s="271"/>
      <c r="M781" s="271"/>
      <c r="N781" s="271"/>
      <c r="O781" s="273"/>
      <c r="Q781" s="230"/>
      <c r="R781" s="230"/>
    </row>
    <row r="782" spans="1:18" s="225" customFormat="1" hidden="1" x14ac:dyDescent="0.2">
      <c r="A782" s="270"/>
      <c r="B782" s="270"/>
      <c r="C782" s="280"/>
      <c r="D782" s="281"/>
      <c r="E782" s="271"/>
      <c r="F782" s="271"/>
      <c r="G782" s="271"/>
      <c r="H782" s="271"/>
      <c r="I782" s="271"/>
      <c r="J782" s="271"/>
      <c r="K782" s="271"/>
      <c r="L782" s="271"/>
      <c r="M782" s="271"/>
      <c r="N782" s="271"/>
      <c r="O782" s="273"/>
      <c r="Q782" s="230"/>
      <c r="R782" s="230"/>
    </row>
    <row r="783" spans="1:18" s="225" customFormat="1" hidden="1" x14ac:dyDescent="0.2">
      <c r="A783" s="270"/>
      <c r="B783" s="270"/>
      <c r="C783" s="280"/>
      <c r="D783" s="281"/>
      <c r="E783" s="271"/>
      <c r="F783" s="271"/>
      <c r="G783" s="271"/>
      <c r="H783" s="271"/>
      <c r="I783" s="271"/>
      <c r="J783" s="271"/>
      <c r="K783" s="271"/>
      <c r="L783" s="271"/>
      <c r="M783" s="271"/>
      <c r="N783" s="271"/>
      <c r="O783" s="273"/>
      <c r="Q783" s="230"/>
      <c r="R783" s="230"/>
    </row>
    <row r="784" spans="1:18" s="225" customFormat="1" hidden="1" x14ac:dyDescent="0.2">
      <c r="A784" s="270"/>
      <c r="B784" s="270"/>
      <c r="C784" s="280"/>
      <c r="D784" s="281"/>
      <c r="E784" s="271"/>
      <c r="F784" s="271"/>
      <c r="G784" s="271"/>
      <c r="H784" s="271"/>
      <c r="I784" s="271"/>
      <c r="J784" s="271"/>
      <c r="K784" s="271"/>
      <c r="L784" s="271"/>
      <c r="M784" s="271"/>
      <c r="N784" s="271"/>
      <c r="O784" s="273"/>
      <c r="Q784" s="230"/>
      <c r="R784" s="230"/>
    </row>
    <row r="785" spans="1:18" s="225" customFormat="1" hidden="1" x14ac:dyDescent="0.2">
      <c r="A785" s="270"/>
      <c r="B785" s="270"/>
      <c r="C785" s="280"/>
      <c r="D785" s="281"/>
      <c r="E785" s="271"/>
      <c r="F785" s="271"/>
      <c r="G785" s="271"/>
      <c r="H785" s="271"/>
      <c r="I785" s="271"/>
      <c r="J785" s="271"/>
      <c r="K785" s="271"/>
      <c r="L785" s="271"/>
      <c r="M785" s="271"/>
      <c r="N785" s="271"/>
      <c r="O785" s="273"/>
      <c r="Q785" s="230"/>
      <c r="R785" s="230"/>
    </row>
    <row r="786" spans="1:18" s="225" customFormat="1" hidden="1" x14ac:dyDescent="0.2">
      <c r="A786" s="270"/>
      <c r="B786" s="270"/>
      <c r="C786" s="280"/>
      <c r="D786" s="281"/>
      <c r="E786" s="271"/>
      <c r="F786" s="271"/>
      <c r="G786" s="271"/>
      <c r="H786" s="271"/>
      <c r="I786" s="271"/>
      <c r="J786" s="271"/>
      <c r="K786" s="271"/>
      <c r="L786" s="271"/>
      <c r="M786" s="271"/>
      <c r="N786" s="271"/>
      <c r="O786" s="273"/>
      <c r="Q786" s="230"/>
      <c r="R786" s="230"/>
    </row>
    <row r="787" spans="1:18" s="225" customFormat="1" hidden="1" x14ac:dyDescent="0.2">
      <c r="A787" s="270"/>
      <c r="B787" s="270"/>
      <c r="C787" s="280"/>
      <c r="D787" s="281"/>
      <c r="E787" s="271"/>
      <c r="F787" s="271"/>
      <c r="G787" s="271"/>
      <c r="H787" s="271"/>
      <c r="I787" s="271"/>
      <c r="J787" s="271"/>
      <c r="K787" s="271"/>
      <c r="L787" s="271"/>
      <c r="M787" s="271"/>
      <c r="N787" s="271"/>
      <c r="O787" s="273"/>
      <c r="Q787" s="230"/>
      <c r="R787" s="230"/>
    </row>
    <row r="788" spans="1:18" s="225" customFormat="1" hidden="1" x14ac:dyDescent="0.2">
      <c r="A788" s="270"/>
      <c r="B788" s="270"/>
      <c r="C788" s="280"/>
      <c r="D788" s="281"/>
      <c r="E788" s="271"/>
      <c r="F788" s="271"/>
      <c r="G788" s="271"/>
      <c r="H788" s="271"/>
      <c r="I788" s="271"/>
      <c r="J788" s="271"/>
      <c r="K788" s="271"/>
      <c r="L788" s="271"/>
      <c r="M788" s="271"/>
      <c r="N788" s="271"/>
      <c r="O788" s="273"/>
      <c r="Q788" s="230"/>
      <c r="R788" s="230"/>
    </row>
    <row r="789" spans="1:18" s="225" customFormat="1" hidden="1" x14ac:dyDescent="0.2">
      <c r="A789" s="270"/>
      <c r="B789" s="270"/>
      <c r="C789" s="280"/>
      <c r="D789" s="281"/>
      <c r="E789" s="271"/>
      <c r="F789" s="271"/>
      <c r="G789" s="271"/>
      <c r="H789" s="271"/>
      <c r="I789" s="271"/>
      <c r="J789" s="271"/>
      <c r="K789" s="271"/>
      <c r="L789" s="271"/>
      <c r="M789" s="271"/>
      <c r="N789" s="271"/>
      <c r="O789" s="273"/>
      <c r="Q789" s="230"/>
      <c r="R789" s="230"/>
    </row>
    <row r="790" spans="1:18" s="225" customFormat="1" hidden="1" x14ac:dyDescent="0.2">
      <c r="A790" s="270"/>
      <c r="B790" s="270"/>
      <c r="C790" s="280"/>
      <c r="D790" s="281"/>
      <c r="E790" s="271"/>
      <c r="F790" s="271"/>
      <c r="G790" s="271"/>
      <c r="H790" s="271"/>
      <c r="I790" s="271"/>
      <c r="J790" s="271"/>
      <c r="K790" s="271"/>
      <c r="L790" s="271"/>
      <c r="M790" s="271"/>
      <c r="N790" s="271"/>
      <c r="O790" s="273"/>
      <c r="Q790" s="230"/>
      <c r="R790" s="230"/>
    </row>
    <row r="791" spans="1:18" s="225" customFormat="1" hidden="1" x14ac:dyDescent="0.2">
      <c r="A791" s="270"/>
      <c r="B791" s="270"/>
      <c r="C791" s="280"/>
      <c r="D791" s="281"/>
      <c r="E791" s="271"/>
      <c r="F791" s="271"/>
      <c r="G791" s="271"/>
      <c r="H791" s="271"/>
      <c r="I791" s="271"/>
      <c r="J791" s="271"/>
      <c r="K791" s="271"/>
      <c r="L791" s="271"/>
      <c r="M791" s="271"/>
      <c r="N791" s="271"/>
      <c r="O791" s="273"/>
      <c r="Q791" s="230"/>
      <c r="R791" s="230"/>
    </row>
    <row r="792" spans="1:18" s="225" customFormat="1" hidden="1" x14ac:dyDescent="0.2">
      <c r="A792" s="270"/>
      <c r="B792" s="270"/>
      <c r="C792" s="280"/>
      <c r="D792" s="281"/>
      <c r="E792" s="271"/>
      <c r="F792" s="271"/>
      <c r="G792" s="271"/>
      <c r="H792" s="271"/>
      <c r="I792" s="271"/>
      <c r="J792" s="271"/>
      <c r="K792" s="271"/>
      <c r="L792" s="271"/>
      <c r="M792" s="271"/>
      <c r="N792" s="271"/>
      <c r="O792" s="273"/>
      <c r="Q792" s="230"/>
      <c r="R792" s="230"/>
    </row>
    <row r="793" spans="1:18" s="225" customFormat="1" hidden="1" x14ac:dyDescent="0.2">
      <c r="A793" s="270"/>
      <c r="B793" s="270"/>
      <c r="C793" s="280"/>
      <c r="D793" s="281"/>
      <c r="E793" s="271"/>
      <c r="F793" s="271"/>
      <c r="G793" s="271"/>
      <c r="H793" s="271"/>
      <c r="I793" s="271"/>
      <c r="J793" s="271"/>
      <c r="K793" s="271"/>
      <c r="L793" s="271"/>
      <c r="M793" s="271"/>
      <c r="N793" s="271"/>
      <c r="O793" s="273"/>
      <c r="Q793" s="230"/>
      <c r="R793" s="230"/>
    </row>
    <row r="794" spans="1:18" s="225" customFormat="1" hidden="1" x14ac:dyDescent="0.2">
      <c r="A794" s="270"/>
      <c r="B794" s="270"/>
      <c r="C794" s="280"/>
      <c r="D794" s="281"/>
      <c r="E794" s="271"/>
      <c r="F794" s="271"/>
      <c r="G794" s="271"/>
      <c r="H794" s="271"/>
      <c r="I794" s="271"/>
      <c r="J794" s="271"/>
      <c r="K794" s="271"/>
      <c r="L794" s="271"/>
      <c r="M794" s="271"/>
      <c r="N794" s="271"/>
      <c r="O794" s="273"/>
      <c r="Q794" s="230"/>
      <c r="R794" s="230"/>
    </row>
    <row r="795" spans="1:18" s="225" customFormat="1" hidden="1" x14ac:dyDescent="0.2">
      <c r="A795" s="270"/>
      <c r="B795" s="270"/>
      <c r="C795" s="280"/>
      <c r="D795" s="281"/>
      <c r="E795" s="271"/>
      <c r="F795" s="271"/>
      <c r="G795" s="271"/>
      <c r="H795" s="271"/>
      <c r="I795" s="271"/>
      <c r="J795" s="271"/>
      <c r="K795" s="271"/>
      <c r="L795" s="271"/>
      <c r="M795" s="271"/>
      <c r="N795" s="271"/>
      <c r="O795" s="273"/>
      <c r="Q795" s="230"/>
      <c r="R795" s="230"/>
    </row>
    <row r="796" spans="1:18" s="225" customFormat="1" hidden="1" x14ac:dyDescent="0.2">
      <c r="A796" s="270"/>
      <c r="B796" s="270"/>
      <c r="C796" s="280"/>
      <c r="D796" s="281"/>
      <c r="E796" s="271"/>
      <c r="F796" s="271"/>
      <c r="G796" s="271"/>
      <c r="H796" s="271"/>
      <c r="I796" s="271"/>
      <c r="J796" s="271"/>
      <c r="K796" s="271"/>
      <c r="L796" s="271"/>
      <c r="M796" s="271"/>
      <c r="N796" s="271"/>
      <c r="O796" s="273"/>
      <c r="Q796" s="230"/>
      <c r="R796" s="230"/>
    </row>
    <row r="797" spans="1:18" s="225" customFormat="1" hidden="1" x14ac:dyDescent="0.2">
      <c r="A797" s="270"/>
      <c r="B797" s="270"/>
      <c r="C797" s="280"/>
      <c r="D797" s="281"/>
      <c r="E797" s="271"/>
      <c r="F797" s="271"/>
      <c r="G797" s="271"/>
      <c r="H797" s="271"/>
      <c r="I797" s="271"/>
      <c r="J797" s="271"/>
      <c r="K797" s="271"/>
      <c r="L797" s="271"/>
      <c r="M797" s="271"/>
      <c r="N797" s="271"/>
      <c r="O797" s="273"/>
      <c r="Q797" s="230"/>
      <c r="R797" s="230"/>
    </row>
    <row r="798" spans="1:18" s="225" customFormat="1" hidden="1" x14ac:dyDescent="0.2">
      <c r="A798" s="270"/>
      <c r="B798" s="270"/>
      <c r="C798" s="280"/>
      <c r="D798" s="281"/>
      <c r="E798" s="271"/>
      <c r="F798" s="271"/>
      <c r="G798" s="271"/>
      <c r="H798" s="271"/>
      <c r="I798" s="271"/>
      <c r="J798" s="271"/>
      <c r="K798" s="271"/>
      <c r="L798" s="271"/>
      <c r="M798" s="271"/>
      <c r="N798" s="271"/>
      <c r="O798" s="273"/>
      <c r="Q798" s="230"/>
      <c r="R798" s="230"/>
    </row>
    <row r="799" spans="1:18" s="225" customFormat="1" hidden="1" x14ac:dyDescent="0.2">
      <c r="A799" s="270"/>
      <c r="B799" s="270"/>
      <c r="C799" s="280"/>
      <c r="D799" s="281"/>
      <c r="E799" s="271"/>
      <c r="F799" s="271"/>
      <c r="G799" s="271"/>
      <c r="H799" s="271"/>
      <c r="I799" s="271"/>
      <c r="J799" s="271"/>
      <c r="K799" s="271"/>
      <c r="L799" s="271"/>
      <c r="M799" s="271"/>
      <c r="N799" s="271"/>
      <c r="O799" s="273"/>
      <c r="Q799" s="230"/>
      <c r="R799" s="230"/>
    </row>
    <row r="800" spans="1:18" s="225" customFormat="1" hidden="1" x14ac:dyDescent="0.2">
      <c r="A800" s="270"/>
      <c r="B800" s="270"/>
      <c r="C800" s="280"/>
      <c r="D800" s="281"/>
      <c r="E800" s="271"/>
      <c r="F800" s="271"/>
      <c r="G800" s="271"/>
      <c r="H800" s="271"/>
      <c r="I800" s="271"/>
      <c r="J800" s="271"/>
      <c r="K800" s="271"/>
      <c r="L800" s="271"/>
      <c r="M800" s="271"/>
      <c r="N800" s="271"/>
      <c r="O800" s="273"/>
      <c r="Q800" s="230"/>
      <c r="R800" s="230"/>
    </row>
    <row r="801" spans="1:18" s="225" customFormat="1" hidden="1" x14ac:dyDescent="0.2">
      <c r="A801" s="270"/>
      <c r="B801" s="270"/>
      <c r="C801" s="280"/>
      <c r="D801" s="281"/>
      <c r="E801" s="271"/>
      <c r="F801" s="271"/>
      <c r="G801" s="271"/>
      <c r="H801" s="271"/>
      <c r="I801" s="271"/>
      <c r="J801" s="271"/>
      <c r="K801" s="271"/>
      <c r="L801" s="271"/>
      <c r="M801" s="271"/>
      <c r="N801" s="271"/>
      <c r="O801" s="273"/>
      <c r="Q801" s="230"/>
      <c r="R801" s="230"/>
    </row>
    <row r="802" spans="1:18" s="225" customFormat="1" hidden="1" x14ac:dyDescent="0.2">
      <c r="A802" s="270"/>
      <c r="B802" s="270"/>
      <c r="C802" s="280"/>
      <c r="D802" s="281"/>
      <c r="E802" s="271"/>
      <c r="F802" s="271"/>
      <c r="G802" s="271"/>
      <c r="H802" s="271"/>
      <c r="I802" s="271"/>
      <c r="J802" s="271"/>
      <c r="K802" s="271"/>
      <c r="L802" s="271"/>
      <c r="M802" s="271"/>
      <c r="N802" s="271"/>
      <c r="O802" s="273"/>
      <c r="Q802" s="230"/>
      <c r="R802" s="230"/>
    </row>
    <row r="803" spans="1:18" s="225" customFormat="1" hidden="1" x14ac:dyDescent="0.2">
      <c r="A803" s="270"/>
      <c r="B803" s="270"/>
      <c r="C803" s="280"/>
      <c r="D803" s="281"/>
      <c r="E803" s="271"/>
      <c r="F803" s="271"/>
      <c r="G803" s="271"/>
      <c r="H803" s="271"/>
      <c r="I803" s="271"/>
      <c r="J803" s="271"/>
      <c r="K803" s="271"/>
      <c r="L803" s="271"/>
      <c r="M803" s="271"/>
      <c r="N803" s="271"/>
      <c r="O803" s="273"/>
      <c r="Q803" s="230"/>
      <c r="R803" s="230"/>
    </row>
    <row r="804" spans="1:18" s="225" customFormat="1" hidden="1" x14ac:dyDescent="0.2">
      <c r="A804" s="270"/>
      <c r="B804" s="270"/>
      <c r="C804" s="280"/>
      <c r="D804" s="281"/>
      <c r="E804" s="271"/>
      <c r="F804" s="271"/>
      <c r="G804" s="271"/>
      <c r="H804" s="271"/>
      <c r="I804" s="271"/>
      <c r="J804" s="271"/>
      <c r="K804" s="271"/>
      <c r="L804" s="271"/>
      <c r="M804" s="271"/>
      <c r="N804" s="271"/>
      <c r="O804" s="273"/>
      <c r="Q804" s="230"/>
      <c r="R804" s="230"/>
    </row>
    <row r="805" spans="1:18" s="225" customFormat="1" hidden="1" x14ac:dyDescent="0.2">
      <c r="A805" s="270"/>
      <c r="B805" s="270"/>
      <c r="C805" s="280"/>
      <c r="D805" s="281"/>
      <c r="E805" s="271"/>
      <c r="F805" s="271"/>
      <c r="G805" s="271"/>
      <c r="H805" s="271"/>
      <c r="I805" s="271"/>
      <c r="J805" s="271"/>
      <c r="K805" s="271"/>
      <c r="L805" s="271"/>
      <c r="M805" s="271"/>
      <c r="N805" s="271"/>
      <c r="O805" s="273"/>
      <c r="Q805" s="230"/>
      <c r="R805" s="230"/>
    </row>
    <row r="806" spans="1:18" s="225" customFormat="1" hidden="1" x14ac:dyDescent="0.2">
      <c r="A806" s="270"/>
      <c r="B806" s="270"/>
      <c r="C806" s="280"/>
      <c r="D806" s="281"/>
      <c r="E806" s="271"/>
      <c r="F806" s="271"/>
      <c r="G806" s="271"/>
      <c r="H806" s="271"/>
      <c r="I806" s="271"/>
      <c r="J806" s="271"/>
      <c r="K806" s="271"/>
      <c r="L806" s="271"/>
      <c r="M806" s="271"/>
      <c r="N806" s="271"/>
      <c r="O806" s="273"/>
      <c r="Q806" s="230"/>
      <c r="R806" s="230"/>
    </row>
    <row r="807" spans="1:18" s="225" customFormat="1" hidden="1" x14ac:dyDescent="0.2">
      <c r="A807" s="270"/>
      <c r="B807" s="270"/>
      <c r="C807" s="280"/>
      <c r="D807" s="281"/>
      <c r="E807" s="271"/>
      <c r="F807" s="271"/>
      <c r="G807" s="271"/>
      <c r="H807" s="271"/>
      <c r="I807" s="271"/>
      <c r="J807" s="271"/>
      <c r="K807" s="271"/>
      <c r="L807" s="271"/>
      <c r="M807" s="271"/>
      <c r="N807" s="271"/>
      <c r="O807" s="273"/>
      <c r="Q807" s="230"/>
      <c r="R807" s="230"/>
    </row>
    <row r="808" spans="1:18" s="225" customFormat="1" hidden="1" x14ac:dyDescent="0.2">
      <c r="A808" s="270"/>
      <c r="B808" s="270"/>
      <c r="C808" s="280"/>
      <c r="D808" s="281"/>
      <c r="E808" s="271"/>
      <c r="F808" s="271"/>
      <c r="G808" s="271"/>
      <c r="H808" s="271"/>
      <c r="I808" s="271"/>
      <c r="J808" s="271"/>
      <c r="K808" s="271"/>
      <c r="L808" s="271"/>
      <c r="M808" s="271"/>
      <c r="N808" s="271"/>
      <c r="O808" s="273"/>
      <c r="Q808" s="230"/>
      <c r="R808" s="230"/>
    </row>
    <row r="809" spans="1:18" s="225" customFormat="1" hidden="1" x14ac:dyDescent="0.2">
      <c r="A809" s="270"/>
      <c r="B809" s="270"/>
      <c r="C809" s="280"/>
      <c r="D809" s="281"/>
      <c r="E809" s="271"/>
      <c r="F809" s="271"/>
      <c r="G809" s="271"/>
      <c r="H809" s="271"/>
      <c r="I809" s="271"/>
      <c r="J809" s="271"/>
      <c r="K809" s="271"/>
      <c r="L809" s="271"/>
      <c r="M809" s="271"/>
      <c r="N809" s="271"/>
      <c r="O809" s="273"/>
      <c r="Q809" s="230"/>
      <c r="R809" s="230"/>
    </row>
    <row r="810" spans="1:18" s="225" customFormat="1" hidden="1" x14ac:dyDescent="0.2">
      <c r="A810" s="270"/>
      <c r="B810" s="270"/>
      <c r="C810" s="280"/>
      <c r="D810" s="281"/>
      <c r="E810" s="271"/>
      <c r="F810" s="271"/>
      <c r="G810" s="271"/>
      <c r="H810" s="271"/>
      <c r="I810" s="271"/>
      <c r="J810" s="271"/>
      <c r="K810" s="271"/>
      <c r="L810" s="271"/>
      <c r="M810" s="271"/>
      <c r="N810" s="271"/>
      <c r="O810" s="273"/>
      <c r="Q810" s="230"/>
      <c r="R810" s="230"/>
    </row>
    <row r="811" spans="1:18" s="225" customFormat="1" hidden="1" x14ac:dyDescent="0.2">
      <c r="A811" s="270"/>
      <c r="B811" s="270"/>
      <c r="C811" s="280"/>
      <c r="D811" s="281"/>
      <c r="E811" s="271"/>
      <c r="F811" s="271"/>
      <c r="G811" s="271"/>
      <c r="H811" s="271"/>
      <c r="I811" s="271"/>
      <c r="J811" s="271"/>
      <c r="K811" s="271"/>
      <c r="L811" s="271"/>
      <c r="M811" s="271"/>
      <c r="N811" s="271"/>
      <c r="O811" s="273"/>
      <c r="Q811" s="230"/>
      <c r="R811" s="230"/>
    </row>
    <row r="812" spans="1:18" s="225" customFormat="1" hidden="1" x14ac:dyDescent="0.2">
      <c r="A812" s="270"/>
      <c r="B812" s="270"/>
      <c r="C812" s="280"/>
      <c r="D812" s="281"/>
      <c r="E812" s="271"/>
      <c r="F812" s="271"/>
      <c r="G812" s="271"/>
      <c r="H812" s="271"/>
      <c r="I812" s="271"/>
      <c r="J812" s="271"/>
      <c r="K812" s="271"/>
      <c r="L812" s="271"/>
      <c r="M812" s="271"/>
      <c r="N812" s="271"/>
      <c r="O812" s="273"/>
      <c r="Q812" s="230"/>
      <c r="R812" s="230"/>
    </row>
    <row r="813" spans="1:18" s="225" customFormat="1" hidden="1" x14ac:dyDescent="0.2">
      <c r="A813" s="270"/>
      <c r="B813" s="270"/>
      <c r="C813" s="280"/>
      <c r="D813" s="281"/>
      <c r="E813" s="271"/>
      <c r="F813" s="271"/>
      <c r="G813" s="271"/>
      <c r="H813" s="271"/>
      <c r="I813" s="271"/>
      <c r="J813" s="271"/>
      <c r="K813" s="271"/>
      <c r="L813" s="271"/>
      <c r="M813" s="271"/>
      <c r="N813" s="271"/>
      <c r="O813" s="273"/>
      <c r="Q813" s="230"/>
      <c r="R813" s="230"/>
    </row>
    <row r="814" spans="1:18" s="225" customFormat="1" hidden="1" x14ac:dyDescent="0.2">
      <c r="A814" s="270"/>
      <c r="B814" s="270"/>
      <c r="C814" s="280"/>
      <c r="D814" s="281"/>
      <c r="E814" s="271"/>
      <c r="F814" s="271"/>
      <c r="G814" s="271"/>
      <c r="H814" s="271"/>
      <c r="I814" s="271"/>
      <c r="J814" s="271"/>
      <c r="K814" s="271"/>
      <c r="L814" s="271"/>
      <c r="M814" s="271"/>
      <c r="N814" s="271"/>
      <c r="O814" s="273"/>
      <c r="Q814" s="230"/>
      <c r="R814" s="230"/>
    </row>
    <row r="815" spans="1:18" s="225" customFormat="1" hidden="1" x14ac:dyDescent="0.2">
      <c r="A815" s="270"/>
      <c r="B815" s="270"/>
      <c r="C815" s="280"/>
      <c r="D815" s="281"/>
      <c r="E815" s="271"/>
      <c r="F815" s="271"/>
      <c r="G815" s="271"/>
      <c r="H815" s="271"/>
      <c r="I815" s="271"/>
      <c r="J815" s="271"/>
      <c r="K815" s="271"/>
      <c r="L815" s="271"/>
      <c r="M815" s="271"/>
      <c r="N815" s="271"/>
      <c r="O815" s="273"/>
      <c r="Q815" s="230"/>
      <c r="R815" s="230"/>
    </row>
    <row r="816" spans="1:18" s="225" customFormat="1" hidden="1" x14ac:dyDescent="0.2">
      <c r="A816" s="270"/>
      <c r="B816" s="270"/>
      <c r="C816" s="280"/>
      <c r="D816" s="281"/>
      <c r="E816" s="271"/>
      <c r="F816" s="271"/>
      <c r="G816" s="271"/>
      <c r="H816" s="271"/>
      <c r="I816" s="271"/>
      <c r="J816" s="271"/>
      <c r="K816" s="271"/>
      <c r="L816" s="271"/>
      <c r="M816" s="271"/>
      <c r="N816" s="271"/>
      <c r="O816" s="273"/>
      <c r="Q816" s="230"/>
      <c r="R816" s="230"/>
    </row>
    <row r="817" spans="1:18" s="225" customFormat="1" hidden="1" x14ac:dyDescent="0.2">
      <c r="A817" s="270"/>
      <c r="B817" s="270"/>
      <c r="C817" s="280"/>
      <c r="D817" s="281"/>
      <c r="E817" s="271"/>
      <c r="F817" s="271"/>
      <c r="G817" s="271"/>
      <c r="H817" s="271"/>
      <c r="I817" s="271"/>
      <c r="J817" s="271"/>
      <c r="K817" s="271"/>
      <c r="L817" s="271"/>
      <c r="M817" s="271"/>
      <c r="N817" s="271"/>
      <c r="O817" s="273"/>
      <c r="Q817" s="230"/>
      <c r="R817" s="230"/>
    </row>
    <row r="818" spans="1:18" s="225" customFormat="1" hidden="1" x14ac:dyDescent="0.2">
      <c r="A818" s="270"/>
      <c r="B818" s="270"/>
      <c r="C818" s="280"/>
      <c r="D818" s="281"/>
      <c r="E818" s="271"/>
      <c r="F818" s="271"/>
      <c r="G818" s="271"/>
      <c r="H818" s="271"/>
      <c r="I818" s="271"/>
      <c r="J818" s="271"/>
      <c r="K818" s="271"/>
      <c r="L818" s="271"/>
      <c r="M818" s="271"/>
      <c r="N818" s="271"/>
      <c r="O818" s="273"/>
      <c r="Q818" s="230"/>
      <c r="R818" s="230"/>
    </row>
    <row r="819" spans="1:18" s="225" customFormat="1" hidden="1" x14ac:dyDescent="0.2">
      <c r="A819" s="270"/>
      <c r="B819" s="270"/>
      <c r="C819" s="280"/>
      <c r="D819" s="281"/>
      <c r="E819" s="271"/>
      <c r="F819" s="271"/>
      <c r="G819" s="271"/>
      <c r="H819" s="271"/>
      <c r="I819" s="271"/>
      <c r="J819" s="271"/>
      <c r="K819" s="271"/>
      <c r="L819" s="271"/>
      <c r="M819" s="271"/>
      <c r="N819" s="271"/>
      <c r="O819" s="273"/>
      <c r="Q819" s="230"/>
      <c r="R819" s="230"/>
    </row>
    <row r="820" spans="1:18" s="225" customFormat="1" hidden="1" x14ac:dyDescent="0.2">
      <c r="A820" s="270"/>
      <c r="B820" s="270"/>
      <c r="C820" s="280"/>
      <c r="D820" s="281"/>
      <c r="E820" s="271"/>
      <c r="F820" s="271"/>
      <c r="G820" s="271"/>
      <c r="H820" s="271"/>
      <c r="I820" s="271"/>
      <c r="J820" s="271"/>
      <c r="K820" s="271"/>
      <c r="L820" s="271"/>
      <c r="M820" s="271"/>
      <c r="N820" s="271"/>
      <c r="O820" s="273"/>
      <c r="Q820" s="230"/>
      <c r="R820" s="230"/>
    </row>
    <row r="821" spans="1:18" s="225" customFormat="1" hidden="1" x14ac:dyDescent="0.2">
      <c r="A821" s="270"/>
      <c r="B821" s="270"/>
      <c r="C821" s="280"/>
      <c r="D821" s="281"/>
      <c r="E821" s="271"/>
      <c r="F821" s="271"/>
      <c r="G821" s="271"/>
      <c r="H821" s="271"/>
      <c r="I821" s="271"/>
      <c r="J821" s="271"/>
      <c r="K821" s="271"/>
      <c r="L821" s="271"/>
      <c r="M821" s="271"/>
      <c r="N821" s="271"/>
      <c r="O821" s="273"/>
      <c r="Q821" s="230"/>
      <c r="R821" s="230"/>
    </row>
    <row r="822" spans="1:18" s="225" customFormat="1" hidden="1" x14ac:dyDescent="0.2">
      <c r="A822" s="270"/>
      <c r="B822" s="270"/>
      <c r="C822" s="280"/>
      <c r="D822" s="281"/>
      <c r="E822" s="271"/>
      <c r="F822" s="271"/>
      <c r="G822" s="271"/>
      <c r="H822" s="271"/>
      <c r="I822" s="271"/>
      <c r="J822" s="271"/>
      <c r="K822" s="271"/>
      <c r="L822" s="271"/>
      <c r="M822" s="271"/>
      <c r="N822" s="271"/>
      <c r="O822" s="273"/>
      <c r="Q822" s="230"/>
      <c r="R822" s="230"/>
    </row>
    <row r="823" spans="1:18" s="225" customFormat="1" hidden="1" x14ac:dyDescent="0.2">
      <c r="A823" s="270"/>
      <c r="B823" s="270"/>
      <c r="C823" s="280"/>
      <c r="D823" s="281"/>
      <c r="E823" s="271"/>
      <c r="F823" s="271"/>
      <c r="G823" s="271"/>
      <c r="H823" s="271"/>
      <c r="I823" s="271"/>
      <c r="J823" s="271"/>
      <c r="K823" s="271"/>
      <c r="L823" s="271"/>
      <c r="M823" s="271"/>
      <c r="N823" s="271"/>
      <c r="O823" s="273"/>
      <c r="Q823" s="230"/>
      <c r="R823" s="230"/>
    </row>
    <row r="824" spans="1:18" s="225" customFormat="1" hidden="1" x14ac:dyDescent="0.2">
      <c r="A824" s="270"/>
      <c r="B824" s="270"/>
      <c r="C824" s="280"/>
      <c r="D824" s="281"/>
      <c r="E824" s="271"/>
      <c r="F824" s="271"/>
      <c r="G824" s="271"/>
      <c r="H824" s="271"/>
      <c r="I824" s="271"/>
      <c r="J824" s="271"/>
      <c r="K824" s="271"/>
      <c r="L824" s="271"/>
      <c r="M824" s="271"/>
      <c r="N824" s="271"/>
      <c r="O824" s="273"/>
      <c r="Q824" s="230"/>
      <c r="R824" s="230"/>
    </row>
    <row r="825" spans="1:18" s="225" customFormat="1" hidden="1" x14ac:dyDescent="0.2">
      <c r="A825" s="270"/>
      <c r="B825" s="270"/>
      <c r="C825" s="280"/>
      <c r="D825" s="281"/>
      <c r="E825" s="271"/>
      <c r="F825" s="271"/>
      <c r="G825" s="271"/>
      <c r="H825" s="271"/>
      <c r="I825" s="271"/>
      <c r="J825" s="271"/>
      <c r="K825" s="271"/>
      <c r="L825" s="271"/>
      <c r="M825" s="271"/>
      <c r="N825" s="271"/>
      <c r="O825" s="273"/>
      <c r="Q825" s="230"/>
      <c r="R825" s="230"/>
    </row>
    <row r="826" spans="1:18" s="225" customFormat="1" hidden="1" x14ac:dyDescent="0.2">
      <c r="A826" s="270"/>
      <c r="B826" s="270"/>
      <c r="C826" s="280"/>
      <c r="D826" s="281"/>
      <c r="E826" s="271"/>
      <c r="F826" s="271"/>
      <c r="G826" s="271"/>
      <c r="H826" s="271"/>
      <c r="I826" s="271"/>
      <c r="J826" s="271"/>
      <c r="K826" s="271"/>
      <c r="L826" s="271"/>
      <c r="M826" s="271"/>
      <c r="N826" s="271"/>
      <c r="O826" s="273"/>
      <c r="Q826" s="230"/>
      <c r="R826" s="230"/>
    </row>
    <row r="827" spans="1:18" s="225" customFormat="1" hidden="1" x14ac:dyDescent="0.2">
      <c r="A827" s="270"/>
      <c r="B827" s="270"/>
      <c r="C827" s="280"/>
      <c r="D827" s="281"/>
      <c r="E827" s="271"/>
      <c r="F827" s="271"/>
      <c r="G827" s="271"/>
      <c r="H827" s="271"/>
      <c r="I827" s="271"/>
      <c r="J827" s="271"/>
      <c r="K827" s="271"/>
      <c r="L827" s="271"/>
      <c r="M827" s="271"/>
      <c r="N827" s="271"/>
      <c r="O827" s="273"/>
      <c r="Q827" s="230"/>
      <c r="R827" s="230"/>
    </row>
    <row r="828" spans="1:18" s="225" customFormat="1" hidden="1" x14ac:dyDescent="0.2">
      <c r="A828" s="270"/>
      <c r="B828" s="270"/>
      <c r="C828" s="280"/>
      <c r="D828" s="281"/>
      <c r="E828" s="271"/>
      <c r="F828" s="271"/>
      <c r="G828" s="271"/>
      <c r="H828" s="271"/>
      <c r="I828" s="271"/>
      <c r="J828" s="271"/>
      <c r="K828" s="271"/>
      <c r="L828" s="271"/>
      <c r="M828" s="271"/>
      <c r="N828" s="271"/>
      <c r="O828" s="273"/>
      <c r="Q828" s="230"/>
      <c r="R828" s="230"/>
    </row>
    <row r="829" spans="1:18" s="225" customFormat="1" hidden="1" x14ac:dyDescent="0.2">
      <c r="A829" s="270"/>
      <c r="B829" s="270"/>
      <c r="C829" s="280"/>
      <c r="D829" s="281"/>
      <c r="E829" s="271"/>
      <c r="F829" s="271"/>
      <c r="G829" s="271"/>
      <c r="H829" s="271"/>
      <c r="I829" s="271"/>
      <c r="J829" s="271"/>
      <c r="K829" s="271"/>
      <c r="L829" s="271"/>
      <c r="M829" s="271"/>
      <c r="N829" s="271"/>
      <c r="O829" s="273"/>
      <c r="Q829" s="230"/>
      <c r="R829" s="230"/>
    </row>
    <row r="830" spans="1:18" s="225" customFormat="1" hidden="1" x14ac:dyDescent="0.2">
      <c r="A830" s="270"/>
      <c r="B830" s="270"/>
      <c r="C830" s="280"/>
      <c r="D830" s="281"/>
      <c r="E830" s="271"/>
      <c r="F830" s="271"/>
      <c r="G830" s="271"/>
      <c r="H830" s="271"/>
      <c r="I830" s="271"/>
      <c r="J830" s="271"/>
      <c r="K830" s="271"/>
      <c r="L830" s="271"/>
      <c r="M830" s="271"/>
      <c r="N830" s="271"/>
      <c r="O830" s="273"/>
      <c r="Q830" s="230"/>
      <c r="R830" s="230"/>
    </row>
    <row r="831" spans="1:18" s="225" customFormat="1" hidden="1" x14ac:dyDescent="0.2">
      <c r="A831" s="270"/>
      <c r="B831" s="270"/>
      <c r="C831" s="280"/>
      <c r="D831" s="281"/>
      <c r="E831" s="271"/>
      <c r="F831" s="271"/>
      <c r="G831" s="271"/>
      <c r="H831" s="271"/>
      <c r="I831" s="271"/>
      <c r="J831" s="271"/>
      <c r="K831" s="271"/>
      <c r="L831" s="271"/>
      <c r="M831" s="271"/>
      <c r="N831" s="271"/>
      <c r="O831" s="273"/>
      <c r="Q831" s="230"/>
      <c r="R831" s="230"/>
    </row>
    <row r="832" spans="1:18" s="225" customFormat="1" hidden="1" x14ac:dyDescent="0.2">
      <c r="A832" s="270"/>
      <c r="B832" s="270"/>
      <c r="C832" s="280"/>
      <c r="D832" s="281"/>
      <c r="E832" s="271"/>
      <c r="F832" s="271"/>
      <c r="G832" s="271"/>
      <c r="H832" s="271"/>
      <c r="I832" s="271"/>
      <c r="J832" s="271"/>
      <c r="K832" s="271"/>
      <c r="L832" s="271"/>
      <c r="M832" s="271"/>
      <c r="N832" s="271"/>
      <c r="O832" s="273"/>
      <c r="Q832" s="230"/>
      <c r="R832" s="230"/>
    </row>
    <row r="833" spans="1:18" s="225" customFormat="1" hidden="1" x14ac:dyDescent="0.2">
      <c r="A833" s="270"/>
      <c r="B833" s="270"/>
      <c r="C833" s="280"/>
      <c r="D833" s="281"/>
      <c r="E833" s="271"/>
      <c r="F833" s="271"/>
      <c r="G833" s="271"/>
      <c r="H833" s="271"/>
      <c r="I833" s="271"/>
      <c r="J833" s="271"/>
      <c r="K833" s="271"/>
      <c r="L833" s="271"/>
      <c r="M833" s="271"/>
      <c r="N833" s="271"/>
      <c r="O833" s="273"/>
      <c r="Q833" s="230"/>
      <c r="R833" s="230"/>
    </row>
    <row r="834" spans="1:18" s="225" customFormat="1" hidden="1" x14ac:dyDescent="0.2">
      <c r="A834" s="270"/>
      <c r="B834" s="270"/>
      <c r="C834" s="280"/>
      <c r="D834" s="281"/>
      <c r="E834" s="271"/>
      <c r="F834" s="271"/>
      <c r="G834" s="271"/>
      <c r="H834" s="271"/>
      <c r="I834" s="271"/>
      <c r="J834" s="271"/>
      <c r="K834" s="271"/>
      <c r="L834" s="271"/>
      <c r="M834" s="271"/>
      <c r="N834" s="271"/>
      <c r="O834" s="273"/>
      <c r="Q834" s="230"/>
      <c r="R834" s="230"/>
    </row>
    <row r="835" spans="1:18" s="225" customFormat="1" hidden="1" x14ac:dyDescent="0.2">
      <c r="A835" s="270"/>
      <c r="B835" s="270"/>
      <c r="C835" s="280"/>
      <c r="D835" s="281"/>
      <c r="E835" s="271"/>
      <c r="F835" s="271"/>
      <c r="G835" s="271"/>
      <c r="H835" s="271"/>
      <c r="I835" s="271"/>
      <c r="J835" s="271"/>
      <c r="K835" s="271"/>
      <c r="L835" s="271"/>
      <c r="M835" s="271"/>
      <c r="N835" s="271"/>
      <c r="O835" s="273"/>
      <c r="Q835" s="230"/>
      <c r="R835" s="230"/>
    </row>
    <row r="836" spans="1:18" s="225" customFormat="1" hidden="1" x14ac:dyDescent="0.2">
      <c r="A836" s="270"/>
      <c r="B836" s="270"/>
      <c r="C836" s="280"/>
      <c r="D836" s="281"/>
      <c r="E836" s="271"/>
      <c r="F836" s="271"/>
      <c r="G836" s="271"/>
      <c r="H836" s="271"/>
      <c r="I836" s="271"/>
      <c r="J836" s="271"/>
      <c r="K836" s="271"/>
      <c r="L836" s="271"/>
      <c r="M836" s="271"/>
      <c r="N836" s="271"/>
      <c r="O836" s="273"/>
      <c r="Q836" s="230"/>
      <c r="R836" s="230"/>
    </row>
    <row r="837" spans="1:18" s="225" customFormat="1" hidden="1" x14ac:dyDescent="0.2">
      <c r="A837" s="270"/>
      <c r="B837" s="270"/>
      <c r="C837" s="280"/>
      <c r="D837" s="281"/>
      <c r="E837" s="271"/>
      <c r="F837" s="271"/>
      <c r="G837" s="271"/>
      <c r="H837" s="271"/>
      <c r="I837" s="271"/>
      <c r="J837" s="271"/>
      <c r="K837" s="271"/>
      <c r="L837" s="271"/>
      <c r="M837" s="271"/>
      <c r="N837" s="271"/>
      <c r="O837" s="273"/>
      <c r="Q837" s="230"/>
      <c r="R837" s="230"/>
    </row>
    <row r="838" spans="1:18" s="225" customFormat="1" hidden="1" x14ac:dyDescent="0.2">
      <c r="A838" s="270"/>
      <c r="B838" s="270"/>
      <c r="C838" s="280"/>
      <c r="D838" s="281"/>
      <c r="E838" s="271"/>
      <c r="F838" s="271"/>
      <c r="G838" s="271"/>
      <c r="H838" s="271"/>
      <c r="I838" s="271"/>
      <c r="J838" s="271"/>
      <c r="K838" s="271"/>
      <c r="L838" s="271"/>
      <c r="M838" s="271"/>
      <c r="N838" s="271"/>
      <c r="O838" s="273"/>
      <c r="Q838" s="230"/>
      <c r="R838" s="230"/>
    </row>
    <row r="839" spans="1:18" s="225" customFormat="1" hidden="1" x14ac:dyDescent="0.2">
      <c r="A839" s="270"/>
      <c r="B839" s="270"/>
      <c r="C839" s="280"/>
      <c r="D839" s="281"/>
      <c r="E839" s="271"/>
      <c r="F839" s="271"/>
      <c r="G839" s="271"/>
      <c r="H839" s="271"/>
      <c r="I839" s="271"/>
      <c r="J839" s="271"/>
      <c r="K839" s="271"/>
      <c r="L839" s="271"/>
      <c r="M839" s="271"/>
      <c r="N839" s="271"/>
      <c r="O839" s="273"/>
      <c r="Q839" s="230"/>
      <c r="R839" s="230"/>
    </row>
    <row r="840" spans="1:18" s="225" customFormat="1" hidden="1" x14ac:dyDescent="0.2">
      <c r="A840" s="270"/>
      <c r="B840" s="270"/>
      <c r="C840" s="280"/>
      <c r="D840" s="281"/>
      <c r="E840" s="271"/>
      <c r="F840" s="271"/>
      <c r="G840" s="271"/>
      <c r="H840" s="271"/>
      <c r="I840" s="271"/>
      <c r="J840" s="271"/>
      <c r="K840" s="271"/>
      <c r="L840" s="271"/>
      <c r="M840" s="271"/>
      <c r="N840" s="271"/>
      <c r="O840" s="273"/>
      <c r="Q840" s="230"/>
      <c r="R840" s="230"/>
    </row>
    <row r="841" spans="1:18" s="225" customFormat="1" hidden="1" x14ac:dyDescent="0.2">
      <c r="A841" s="270"/>
      <c r="B841" s="270"/>
      <c r="C841" s="280"/>
      <c r="D841" s="281"/>
      <c r="E841" s="271"/>
      <c r="F841" s="271"/>
      <c r="G841" s="271"/>
      <c r="H841" s="271"/>
      <c r="I841" s="271"/>
      <c r="J841" s="271"/>
      <c r="K841" s="271"/>
      <c r="L841" s="271"/>
      <c r="M841" s="271"/>
      <c r="N841" s="271"/>
      <c r="O841" s="273"/>
      <c r="Q841" s="230"/>
      <c r="R841" s="230"/>
    </row>
    <row r="842" spans="1:18" s="225" customFormat="1" hidden="1" x14ac:dyDescent="0.2">
      <c r="A842" s="270"/>
      <c r="B842" s="270"/>
      <c r="C842" s="280"/>
      <c r="D842" s="281"/>
      <c r="E842" s="271"/>
      <c r="F842" s="271"/>
      <c r="G842" s="271"/>
      <c r="H842" s="271"/>
      <c r="I842" s="271"/>
      <c r="J842" s="271"/>
      <c r="K842" s="271"/>
      <c r="L842" s="271"/>
      <c r="M842" s="271"/>
      <c r="N842" s="271"/>
      <c r="O842" s="273"/>
      <c r="Q842" s="230"/>
      <c r="R842" s="230"/>
    </row>
    <row r="843" spans="1:18" s="225" customFormat="1" hidden="1" x14ac:dyDescent="0.2">
      <c r="A843" s="270"/>
      <c r="B843" s="270"/>
      <c r="C843" s="280"/>
      <c r="D843" s="281"/>
      <c r="E843" s="271"/>
      <c r="F843" s="271"/>
      <c r="G843" s="271"/>
      <c r="H843" s="271"/>
      <c r="I843" s="271"/>
      <c r="J843" s="271"/>
      <c r="K843" s="271"/>
      <c r="L843" s="271"/>
      <c r="M843" s="271"/>
      <c r="N843" s="271"/>
      <c r="O843" s="273"/>
      <c r="Q843" s="230"/>
      <c r="R843" s="230"/>
    </row>
    <row r="844" spans="1:18" s="225" customFormat="1" hidden="1" x14ac:dyDescent="0.2">
      <c r="A844" s="270"/>
      <c r="B844" s="270"/>
      <c r="C844" s="280"/>
      <c r="D844" s="281"/>
      <c r="E844" s="271"/>
      <c r="F844" s="271"/>
      <c r="G844" s="271"/>
      <c r="H844" s="271"/>
      <c r="I844" s="271"/>
      <c r="J844" s="271"/>
      <c r="K844" s="271"/>
      <c r="L844" s="271"/>
      <c r="M844" s="271"/>
      <c r="N844" s="271"/>
      <c r="O844" s="273"/>
      <c r="Q844" s="230"/>
      <c r="R844" s="230"/>
    </row>
    <row r="845" spans="1:18" s="225" customFormat="1" hidden="1" x14ac:dyDescent="0.2">
      <c r="A845" s="270"/>
      <c r="B845" s="270"/>
      <c r="C845" s="280"/>
      <c r="D845" s="281"/>
      <c r="E845" s="271"/>
      <c r="F845" s="271"/>
      <c r="G845" s="271"/>
      <c r="H845" s="271"/>
      <c r="I845" s="271"/>
      <c r="J845" s="271"/>
      <c r="K845" s="271"/>
      <c r="L845" s="271"/>
      <c r="M845" s="271"/>
      <c r="N845" s="271"/>
      <c r="O845" s="273"/>
      <c r="Q845" s="230"/>
      <c r="R845" s="230"/>
    </row>
    <row r="846" spans="1:18" s="225" customFormat="1" hidden="1" x14ac:dyDescent="0.2">
      <c r="A846" s="270"/>
      <c r="B846" s="270"/>
      <c r="C846" s="280"/>
      <c r="D846" s="281"/>
      <c r="E846" s="271"/>
      <c r="F846" s="271"/>
      <c r="G846" s="271"/>
      <c r="H846" s="271"/>
      <c r="I846" s="271"/>
      <c r="J846" s="271"/>
      <c r="K846" s="271"/>
      <c r="L846" s="271"/>
      <c r="M846" s="271"/>
      <c r="N846" s="271"/>
      <c r="O846" s="273"/>
      <c r="Q846" s="230"/>
      <c r="R846" s="230"/>
    </row>
    <row r="847" spans="1:18" s="225" customFormat="1" hidden="1" x14ac:dyDescent="0.2">
      <c r="A847" s="270"/>
      <c r="B847" s="270"/>
      <c r="C847" s="280"/>
      <c r="D847" s="281"/>
      <c r="E847" s="271"/>
      <c r="F847" s="271"/>
      <c r="G847" s="271"/>
      <c r="H847" s="271"/>
      <c r="I847" s="271"/>
      <c r="J847" s="271"/>
      <c r="K847" s="271"/>
      <c r="L847" s="271"/>
      <c r="M847" s="271"/>
      <c r="N847" s="271"/>
      <c r="O847" s="273"/>
      <c r="Q847" s="230"/>
      <c r="R847" s="230"/>
    </row>
    <row r="848" spans="1:18" s="225" customFormat="1" hidden="1" x14ac:dyDescent="0.2">
      <c r="A848" s="270"/>
      <c r="B848" s="270"/>
      <c r="C848" s="280"/>
      <c r="D848" s="281"/>
      <c r="E848" s="271"/>
      <c r="F848" s="271"/>
      <c r="G848" s="271"/>
      <c r="H848" s="271"/>
      <c r="I848" s="271"/>
      <c r="J848" s="271"/>
      <c r="K848" s="271"/>
      <c r="L848" s="271"/>
      <c r="M848" s="271"/>
      <c r="N848" s="271"/>
      <c r="O848" s="273"/>
      <c r="Q848" s="230"/>
      <c r="R848" s="230"/>
    </row>
    <row r="849" spans="1:18" s="225" customFormat="1" hidden="1" x14ac:dyDescent="0.2">
      <c r="A849" s="270"/>
      <c r="B849" s="270"/>
      <c r="C849" s="280"/>
      <c r="D849" s="281"/>
      <c r="E849" s="271"/>
      <c r="F849" s="271"/>
      <c r="G849" s="271"/>
      <c r="H849" s="271"/>
      <c r="I849" s="271"/>
      <c r="J849" s="271"/>
      <c r="K849" s="271"/>
      <c r="L849" s="271"/>
      <c r="M849" s="271"/>
      <c r="N849" s="271"/>
      <c r="O849" s="273"/>
      <c r="Q849" s="230"/>
      <c r="R849" s="230"/>
    </row>
    <row r="850" spans="1:18" s="225" customFormat="1" hidden="1" x14ac:dyDescent="0.2">
      <c r="A850" s="270"/>
      <c r="B850" s="270"/>
      <c r="C850" s="280"/>
      <c r="D850" s="281"/>
      <c r="E850" s="271"/>
      <c r="F850" s="271"/>
      <c r="G850" s="271"/>
      <c r="H850" s="271"/>
      <c r="I850" s="271"/>
      <c r="J850" s="271"/>
      <c r="K850" s="271"/>
      <c r="L850" s="271"/>
      <c r="M850" s="271"/>
      <c r="N850" s="271"/>
      <c r="O850" s="273"/>
      <c r="Q850" s="230"/>
      <c r="R850" s="230"/>
    </row>
    <row r="851" spans="1:18" s="225" customFormat="1" hidden="1" x14ac:dyDescent="0.2">
      <c r="A851" s="270"/>
      <c r="B851" s="270"/>
      <c r="C851" s="280"/>
      <c r="D851" s="281"/>
      <c r="E851" s="271"/>
      <c r="F851" s="271"/>
      <c r="G851" s="271"/>
      <c r="H851" s="271"/>
      <c r="I851" s="271"/>
      <c r="J851" s="271"/>
      <c r="K851" s="271"/>
      <c r="L851" s="271"/>
      <c r="M851" s="271"/>
      <c r="N851" s="271"/>
      <c r="O851" s="273"/>
      <c r="Q851" s="230"/>
      <c r="R851" s="230"/>
    </row>
    <row r="852" spans="1:18" s="225" customFormat="1" hidden="1" x14ac:dyDescent="0.2">
      <c r="A852" s="270"/>
      <c r="B852" s="270"/>
      <c r="C852" s="280"/>
      <c r="D852" s="281"/>
      <c r="E852" s="271"/>
      <c r="F852" s="271"/>
      <c r="G852" s="271"/>
      <c r="H852" s="271"/>
      <c r="I852" s="271"/>
      <c r="J852" s="271"/>
      <c r="K852" s="271"/>
      <c r="L852" s="271"/>
      <c r="M852" s="271"/>
      <c r="N852" s="271"/>
      <c r="O852" s="273"/>
      <c r="Q852" s="230"/>
      <c r="R852" s="230"/>
    </row>
    <row r="853" spans="1:18" s="225" customFormat="1" hidden="1" x14ac:dyDescent="0.2">
      <c r="A853" s="270"/>
      <c r="B853" s="270"/>
      <c r="C853" s="280"/>
      <c r="D853" s="281"/>
      <c r="E853" s="271"/>
      <c r="F853" s="271"/>
      <c r="G853" s="271"/>
      <c r="H853" s="271"/>
      <c r="I853" s="271"/>
      <c r="J853" s="271"/>
      <c r="K853" s="271"/>
      <c r="L853" s="271"/>
      <c r="M853" s="271"/>
      <c r="N853" s="271"/>
      <c r="O853" s="273"/>
      <c r="Q853" s="230"/>
      <c r="R853" s="230"/>
    </row>
    <row r="854" spans="1:18" s="225" customFormat="1" hidden="1" x14ac:dyDescent="0.2">
      <c r="A854" s="270"/>
      <c r="B854" s="270"/>
      <c r="C854" s="280"/>
      <c r="D854" s="281"/>
      <c r="E854" s="271"/>
      <c r="F854" s="271"/>
      <c r="G854" s="271"/>
      <c r="H854" s="271"/>
      <c r="I854" s="271"/>
      <c r="J854" s="271"/>
      <c r="K854" s="271"/>
      <c r="L854" s="271"/>
      <c r="M854" s="271"/>
      <c r="N854" s="271"/>
      <c r="O854" s="273"/>
      <c r="Q854" s="230"/>
      <c r="R854" s="230"/>
    </row>
    <row r="855" spans="1:18" s="225" customFormat="1" hidden="1" x14ac:dyDescent="0.2">
      <c r="A855" s="270"/>
      <c r="B855" s="270"/>
      <c r="C855" s="280"/>
      <c r="D855" s="281"/>
      <c r="E855" s="271"/>
      <c r="F855" s="271"/>
      <c r="G855" s="271"/>
      <c r="H855" s="271"/>
      <c r="I855" s="271"/>
      <c r="J855" s="271"/>
      <c r="K855" s="271"/>
      <c r="L855" s="271"/>
      <c r="M855" s="271"/>
      <c r="N855" s="271"/>
      <c r="O855" s="273"/>
      <c r="Q855" s="230"/>
      <c r="R855" s="230"/>
    </row>
    <row r="856" spans="1:18" s="225" customFormat="1" hidden="1" x14ac:dyDescent="0.2">
      <c r="A856" s="270"/>
      <c r="B856" s="270"/>
      <c r="C856" s="280"/>
      <c r="D856" s="281"/>
      <c r="E856" s="271"/>
      <c r="F856" s="271"/>
      <c r="G856" s="271"/>
      <c r="H856" s="271"/>
      <c r="I856" s="271"/>
      <c r="J856" s="271"/>
      <c r="K856" s="271"/>
      <c r="L856" s="271"/>
      <c r="M856" s="271"/>
      <c r="N856" s="271"/>
      <c r="O856" s="273"/>
      <c r="Q856" s="230"/>
      <c r="R856" s="230"/>
    </row>
    <row r="857" spans="1:18" s="225" customFormat="1" hidden="1" x14ac:dyDescent="0.2">
      <c r="A857" s="270"/>
      <c r="B857" s="270"/>
      <c r="C857" s="280"/>
      <c r="D857" s="281"/>
      <c r="E857" s="271"/>
      <c r="F857" s="271"/>
      <c r="G857" s="271"/>
      <c r="H857" s="271"/>
      <c r="I857" s="271"/>
      <c r="J857" s="271"/>
      <c r="K857" s="271"/>
      <c r="L857" s="271"/>
      <c r="M857" s="271"/>
      <c r="N857" s="271"/>
      <c r="O857" s="273"/>
      <c r="Q857" s="230"/>
      <c r="R857" s="230"/>
    </row>
    <row r="858" spans="1:18" s="225" customFormat="1" hidden="1" x14ac:dyDescent="0.2">
      <c r="A858" s="270"/>
      <c r="B858" s="270"/>
      <c r="C858" s="280"/>
      <c r="D858" s="281"/>
      <c r="E858" s="271"/>
      <c r="F858" s="271"/>
      <c r="G858" s="271"/>
      <c r="H858" s="271"/>
      <c r="I858" s="271"/>
      <c r="J858" s="271"/>
      <c r="K858" s="271"/>
      <c r="L858" s="271"/>
      <c r="M858" s="271"/>
      <c r="N858" s="271"/>
      <c r="O858" s="273"/>
      <c r="Q858" s="230"/>
      <c r="R858" s="230"/>
    </row>
    <row r="859" spans="1:18" s="225" customFormat="1" hidden="1" x14ac:dyDescent="0.2">
      <c r="A859" s="270"/>
      <c r="B859" s="270"/>
      <c r="C859" s="280"/>
      <c r="D859" s="281"/>
      <c r="E859" s="271"/>
      <c r="F859" s="271"/>
      <c r="G859" s="271"/>
      <c r="H859" s="271"/>
      <c r="I859" s="271"/>
      <c r="J859" s="271"/>
      <c r="K859" s="271"/>
      <c r="L859" s="271"/>
      <c r="M859" s="271"/>
      <c r="N859" s="271"/>
      <c r="O859" s="273"/>
      <c r="Q859" s="230"/>
      <c r="R859" s="230"/>
    </row>
    <row r="860" spans="1:18" s="225" customFormat="1" hidden="1" x14ac:dyDescent="0.2">
      <c r="A860" s="270"/>
      <c r="B860" s="270"/>
      <c r="C860" s="280"/>
      <c r="D860" s="281"/>
      <c r="E860" s="271"/>
      <c r="F860" s="271"/>
      <c r="G860" s="271"/>
      <c r="H860" s="271"/>
      <c r="I860" s="271"/>
      <c r="J860" s="271"/>
      <c r="K860" s="271"/>
      <c r="L860" s="271"/>
      <c r="M860" s="271"/>
      <c r="N860" s="271"/>
      <c r="O860" s="273"/>
      <c r="Q860" s="230"/>
      <c r="R860" s="230"/>
    </row>
    <row r="861" spans="1:18" s="225" customFormat="1" hidden="1" x14ac:dyDescent="0.2">
      <c r="A861" s="270"/>
      <c r="B861" s="270"/>
      <c r="C861" s="280"/>
      <c r="D861" s="281"/>
      <c r="E861" s="271"/>
      <c r="F861" s="271"/>
      <c r="G861" s="271"/>
      <c r="H861" s="271"/>
      <c r="I861" s="271"/>
      <c r="J861" s="271"/>
      <c r="K861" s="271"/>
      <c r="L861" s="271"/>
      <c r="M861" s="271"/>
      <c r="N861" s="271"/>
      <c r="O861" s="273"/>
      <c r="Q861" s="230"/>
      <c r="R861" s="230"/>
    </row>
    <row r="862" spans="1:18" s="225" customFormat="1" hidden="1" x14ac:dyDescent="0.2">
      <c r="A862" s="270"/>
      <c r="B862" s="270"/>
      <c r="C862" s="280"/>
      <c r="D862" s="281"/>
      <c r="E862" s="271"/>
      <c r="F862" s="271"/>
      <c r="G862" s="271"/>
      <c r="H862" s="271"/>
      <c r="I862" s="271"/>
      <c r="J862" s="271"/>
      <c r="K862" s="271"/>
      <c r="L862" s="271"/>
      <c r="M862" s="271"/>
      <c r="N862" s="271"/>
      <c r="O862" s="273"/>
      <c r="Q862" s="230"/>
      <c r="R862" s="230"/>
    </row>
    <row r="863" spans="1:18" s="225" customFormat="1" hidden="1" x14ac:dyDescent="0.2">
      <c r="A863" s="270"/>
      <c r="B863" s="270"/>
      <c r="C863" s="280"/>
      <c r="D863" s="281"/>
      <c r="E863" s="271"/>
      <c r="F863" s="271"/>
      <c r="G863" s="271"/>
      <c r="H863" s="271"/>
      <c r="I863" s="271"/>
      <c r="J863" s="271"/>
      <c r="K863" s="271"/>
      <c r="L863" s="271"/>
      <c r="M863" s="271"/>
      <c r="N863" s="271"/>
      <c r="O863" s="273"/>
      <c r="Q863" s="230"/>
      <c r="R863" s="230"/>
    </row>
    <row r="864" spans="1:18" s="225" customFormat="1" hidden="1" x14ac:dyDescent="0.2">
      <c r="A864" s="270"/>
      <c r="B864" s="270"/>
      <c r="C864" s="280"/>
      <c r="D864" s="281"/>
      <c r="E864" s="271"/>
      <c r="F864" s="271"/>
      <c r="G864" s="271"/>
      <c r="H864" s="271"/>
      <c r="I864" s="271"/>
      <c r="J864" s="271"/>
      <c r="K864" s="271"/>
      <c r="L864" s="271"/>
      <c r="M864" s="271"/>
      <c r="N864" s="271"/>
      <c r="O864" s="273"/>
      <c r="Q864" s="230"/>
      <c r="R864" s="230"/>
    </row>
    <row r="865" spans="1:18" s="225" customFormat="1" hidden="1" x14ac:dyDescent="0.2">
      <c r="A865" s="270"/>
      <c r="B865" s="270"/>
      <c r="C865" s="280"/>
      <c r="D865" s="281"/>
      <c r="E865" s="271"/>
      <c r="F865" s="271"/>
      <c r="G865" s="271"/>
      <c r="H865" s="271"/>
      <c r="I865" s="271"/>
      <c r="J865" s="271"/>
      <c r="K865" s="271"/>
      <c r="L865" s="271"/>
      <c r="M865" s="271"/>
      <c r="N865" s="271"/>
      <c r="O865" s="273"/>
      <c r="Q865" s="230"/>
      <c r="R865" s="230"/>
    </row>
    <row r="866" spans="1:18" s="225" customFormat="1" hidden="1" x14ac:dyDescent="0.2">
      <c r="A866" s="270"/>
      <c r="B866" s="270"/>
      <c r="C866" s="280"/>
      <c r="D866" s="281"/>
      <c r="E866" s="271"/>
      <c r="F866" s="271"/>
      <c r="G866" s="271"/>
      <c r="H866" s="271"/>
      <c r="I866" s="271"/>
      <c r="J866" s="271"/>
      <c r="K866" s="271"/>
      <c r="L866" s="271"/>
      <c r="M866" s="271"/>
      <c r="N866" s="271"/>
      <c r="O866" s="273"/>
      <c r="Q866" s="230"/>
      <c r="R866" s="230"/>
    </row>
    <row r="867" spans="1:18" s="225" customFormat="1" hidden="1" x14ac:dyDescent="0.2">
      <c r="A867" s="270"/>
      <c r="B867" s="270"/>
      <c r="C867" s="280"/>
      <c r="D867" s="281"/>
      <c r="E867" s="271"/>
      <c r="F867" s="271"/>
      <c r="G867" s="271"/>
      <c r="H867" s="271"/>
      <c r="I867" s="271"/>
      <c r="J867" s="271"/>
      <c r="K867" s="271"/>
      <c r="L867" s="271"/>
      <c r="M867" s="271"/>
      <c r="N867" s="271"/>
      <c r="O867" s="273"/>
      <c r="Q867" s="230"/>
      <c r="R867" s="230"/>
    </row>
    <row r="868" spans="1:18" s="225" customFormat="1" hidden="1" x14ac:dyDescent="0.2">
      <c r="A868" s="270"/>
      <c r="B868" s="270"/>
      <c r="C868" s="280"/>
      <c r="D868" s="281"/>
      <c r="E868" s="271"/>
      <c r="F868" s="271"/>
      <c r="G868" s="271"/>
      <c r="H868" s="271"/>
      <c r="I868" s="271"/>
      <c r="J868" s="271"/>
      <c r="K868" s="271"/>
      <c r="L868" s="271"/>
      <c r="M868" s="271"/>
      <c r="N868" s="271"/>
      <c r="O868" s="273"/>
      <c r="Q868" s="230"/>
      <c r="R868" s="230"/>
    </row>
    <row r="869" spans="1:18" s="225" customFormat="1" hidden="1" x14ac:dyDescent="0.2">
      <c r="A869" s="270"/>
      <c r="B869" s="270"/>
      <c r="C869" s="280"/>
      <c r="D869" s="281"/>
      <c r="E869" s="271"/>
      <c r="F869" s="271"/>
      <c r="G869" s="271"/>
      <c r="H869" s="271"/>
      <c r="I869" s="271"/>
      <c r="J869" s="271"/>
      <c r="K869" s="271"/>
      <c r="L869" s="271"/>
      <c r="M869" s="271"/>
      <c r="N869" s="271"/>
      <c r="O869" s="273"/>
      <c r="Q869" s="230"/>
      <c r="R869" s="230"/>
    </row>
    <row r="870" spans="1:18" s="225" customFormat="1" hidden="1" x14ac:dyDescent="0.2">
      <c r="A870" s="270"/>
      <c r="B870" s="270"/>
      <c r="C870" s="280"/>
      <c r="D870" s="281"/>
      <c r="E870" s="271"/>
      <c r="F870" s="271"/>
      <c r="G870" s="271"/>
      <c r="H870" s="271"/>
      <c r="I870" s="271"/>
      <c r="J870" s="271"/>
      <c r="K870" s="271"/>
      <c r="L870" s="271"/>
      <c r="M870" s="271"/>
      <c r="N870" s="271"/>
      <c r="O870" s="273"/>
      <c r="Q870" s="230"/>
      <c r="R870" s="230"/>
    </row>
    <row r="871" spans="1:18" s="225" customFormat="1" hidden="1" x14ac:dyDescent="0.2">
      <c r="A871" s="270"/>
      <c r="B871" s="270"/>
      <c r="C871" s="280"/>
      <c r="D871" s="281"/>
      <c r="E871" s="271"/>
      <c r="F871" s="271"/>
      <c r="G871" s="271"/>
      <c r="H871" s="271"/>
      <c r="I871" s="271"/>
      <c r="J871" s="271"/>
      <c r="K871" s="271"/>
      <c r="L871" s="271"/>
      <c r="M871" s="271"/>
      <c r="N871" s="271"/>
      <c r="O871" s="273"/>
      <c r="Q871" s="230"/>
      <c r="R871" s="230"/>
    </row>
    <row r="872" spans="1:18" s="225" customFormat="1" hidden="1" x14ac:dyDescent="0.2">
      <c r="A872" s="270"/>
      <c r="B872" s="270"/>
      <c r="C872" s="280"/>
      <c r="D872" s="281"/>
      <c r="E872" s="271"/>
      <c r="F872" s="271"/>
      <c r="G872" s="271"/>
      <c r="H872" s="271"/>
      <c r="I872" s="271"/>
      <c r="J872" s="271"/>
      <c r="K872" s="271"/>
      <c r="L872" s="271"/>
      <c r="M872" s="271"/>
      <c r="N872" s="271"/>
      <c r="O872" s="273"/>
      <c r="Q872" s="230"/>
      <c r="R872" s="230"/>
    </row>
    <row r="873" spans="1:18" s="225" customFormat="1" hidden="1" x14ac:dyDescent="0.2">
      <c r="A873" s="270"/>
      <c r="B873" s="270"/>
      <c r="C873" s="280"/>
      <c r="D873" s="281"/>
      <c r="E873" s="271"/>
      <c r="F873" s="271"/>
      <c r="G873" s="271"/>
      <c r="H873" s="271"/>
      <c r="I873" s="271"/>
      <c r="J873" s="271"/>
      <c r="K873" s="271"/>
      <c r="L873" s="271"/>
      <c r="M873" s="271"/>
      <c r="N873" s="271"/>
      <c r="O873" s="273"/>
      <c r="Q873" s="230"/>
      <c r="R873" s="230"/>
    </row>
    <row r="874" spans="1:18" s="225" customFormat="1" hidden="1" x14ac:dyDescent="0.2">
      <c r="A874" s="270"/>
      <c r="B874" s="270"/>
      <c r="C874" s="280"/>
      <c r="D874" s="281"/>
      <c r="E874" s="271"/>
      <c r="F874" s="271"/>
      <c r="G874" s="271"/>
      <c r="H874" s="271"/>
      <c r="I874" s="271"/>
      <c r="J874" s="271"/>
      <c r="K874" s="271"/>
      <c r="L874" s="271"/>
      <c r="M874" s="271"/>
      <c r="N874" s="271"/>
      <c r="O874" s="273"/>
      <c r="Q874" s="230"/>
      <c r="R874" s="230"/>
    </row>
    <row r="875" spans="1:18" s="225" customFormat="1" hidden="1" x14ac:dyDescent="0.2">
      <c r="A875" s="270"/>
      <c r="B875" s="270"/>
      <c r="C875" s="280"/>
      <c r="D875" s="281"/>
      <c r="E875" s="271"/>
      <c r="F875" s="271"/>
      <c r="G875" s="271"/>
      <c r="H875" s="271"/>
      <c r="I875" s="271"/>
      <c r="J875" s="271"/>
      <c r="K875" s="271"/>
      <c r="L875" s="271"/>
      <c r="M875" s="271"/>
      <c r="N875" s="271"/>
      <c r="O875" s="273"/>
      <c r="Q875" s="230"/>
      <c r="R875" s="230"/>
    </row>
    <row r="876" spans="1:18" s="225" customFormat="1" hidden="1" x14ac:dyDescent="0.2">
      <c r="A876" s="270"/>
      <c r="B876" s="270"/>
      <c r="C876" s="280"/>
      <c r="D876" s="281"/>
      <c r="E876" s="271"/>
      <c r="F876" s="271"/>
      <c r="G876" s="271"/>
      <c r="H876" s="271"/>
      <c r="I876" s="271"/>
      <c r="J876" s="271"/>
      <c r="K876" s="271"/>
      <c r="L876" s="271"/>
      <c r="M876" s="271"/>
      <c r="N876" s="271"/>
      <c r="O876" s="273"/>
      <c r="Q876" s="230"/>
      <c r="R876" s="230"/>
    </row>
    <row r="877" spans="1:18" s="225" customFormat="1" hidden="1" x14ac:dyDescent="0.2">
      <c r="A877" s="270"/>
      <c r="B877" s="270"/>
      <c r="C877" s="280"/>
      <c r="D877" s="281"/>
      <c r="E877" s="271"/>
      <c r="F877" s="271"/>
      <c r="G877" s="271"/>
      <c r="H877" s="271"/>
      <c r="I877" s="271"/>
      <c r="J877" s="271"/>
      <c r="K877" s="271"/>
      <c r="L877" s="271"/>
      <c r="M877" s="271"/>
      <c r="N877" s="271"/>
      <c r="O877" s="273"/>
      <c r="Q877" s="230"/>
      <c r="R877" s="230"/>
    </row>
    <row r="878" spans="1:18" s="225" customFormat="1" hidden="1" x14ac:dyDescent="0.2">
      <c r="A878" s="270"/>
      <c r="B878" s="270"/>
      <c r="C878" s="280"/>
      <c r="D878" s="281"/>
      <c r="E878" s="271"/>
      <c r="F878" s="271"/>
      <c r="G878" s="271"/>
      <c r="H878" s="271"/>
      <c r="I878" s="271"/>
      <c r="J878" s="271"/>
      <c r="K878" s="271"/>
      <c r="L878" s="271"/>
      <c r="M878" s="271"/>
      <c r="N878" s="271"/>
      <c r="O878" s="273"/>
      <c r="Q878" s="230"/>
      <c r="R878" s="230"/>
    </row>
    <row r="879" spans="1:18" s="225" customFormat="1" hidden="1" x14ac:dyDescent="0.2">
      <c r="A879" s="270"/>
      <c r="B879" s="270"/>
      <c r="C879" s="280"/>
      <c r="D879" s="281"/>
      <c r="E879" s="271"/>
      <c r="F879" s="271"/>
      <c r="G879" s="271"/>
      <c r="H879" s="271"/>
      <c r="I879" s="271"/>
      <c r="J879" s="271"/>
      <c r="K879" s="271"/>
      <c r="L879" s="271"/>
      <c r="M879" s="271"/>
      <c r="N879" s="271"/>
      <c r="O879" s="273"/>
      <c r="Q879" s="230"/>
      <c r="R879" s="230"/>
    </row>
    <row r="880" spans="1:18" s="225" customFormat="1" hidden="1" x14ac:dyDescent="0.2">
      <c r="A880" s="270"/>
      <c r="B880" s="270"/>
      <c r="C880" s="280"/>
      <c r="D880" s="281"/>
      <c r="E880" s="271"/>
      <c r="F880" s="271"/>
      <c r="G880" s="271"/>
      <c r="H880" s="271"/>
      <c r="I880" s="271"/>
      <c r="J880" s="271"/>
      <c r="K880" s="271"/>
      <c r="L880" s="271"/>
      <c r="M880" s="271"/>
      <c r="N880" s="271"/>
      <c r="O880" s="273"/>
      <c r="Q880" s="230"/>
      <c r="R880" s="230"/>
    </row>
    <row r="881" spans="1:18" s="225" customFormat="1" hidden="1" x14ac:dyDescent="0.2">
      <c r="A881" s="270"/>
      <c r="B881" s="270"/>
      <c r="C881" s="280"/>
      <c r="D881" s="281"/>
      <c r="E881" s="271"/>
      <c r="F881" s="271"/>
      <c r="G881" s="271"/>
      <c r="H881" s="271"/>
      <c r="I881" s="271"/>
      <c r="J881" s="271"/>
      <c r="K881" s="271"/>
      <c r="L881" s="271"/>
      <c r="M881" s="271"/>
      <c r="N881" s="271"/>
      <c r="O881" s="273"/>
      <c r="Q881" s="230"/>
      <c r="R881" s="230"/>
    </row>
    <row r="882" spans="1:18" s="225" customFormat="1" hidden="1" x14ac:dyDescent="0.2">
      <c r="A882" s="270"/>
      <c r="B882" s="270"/>
      <c r="C882" s="280"/>
      <c r="D882" s="281"/>
      <c r="E882" s="271"/>
      <c r="F882" s="271"/>
      <c r="G882" s="271"/>
      <c r="H882" s="271"/>
      <c r="I882" s="271"/>
      <c r="J882" s="271"/>
      <c r="K882" s="271"/>
      <c r="L882" s="271"/>
      <c r="M882" s="271"/>
      <c r="N882" s="271"/>
      <c r="O882" s="273"/>
      <c r="Q882" s="230"/>
      <c r="R882" s="230"/>
    </row>
    <row r="883" spans="1:18" s="225" customFormat="1" hidden="1" x14ac:dyDescent="0.2">
      <c r="A883" s="270"/>
      <c r="B883" s="270"/>
      <c r="C883" s="280"/>
      <c r="D883" s="281"/>
      <c r="E883" s="271"/>
      <c r="F883" s="271"/>
      <c r="G883" s="271"/>
      <c r="H883" s="271"/>
      <c r="I883" s="271"/>
      <c r="J883" s="271"/>
      <c r="K883" s="271"/>
      <c r="L883" s="271"/>
      <c r="M883" s="271"/>
      <c r="N883" s="271"/>
      <c r="O883" s="273"/>
      <c r="Q883" s="230"/>
      <c r="R883" s="230"/>
    </row>
    <row r="884" spans="1:18" s="225" customFormat="1" hidden="1" x14ac:dyDescent="0.2">
      <c r="A884" s="270"/>
      <c r="B884" s="270"/>
      <c r="C884" s="280"/>
      <c r="D884" s="281"/>
      <c r="E884" s="271"/>
      <c r="F884" s="271"/>
      <c r="G884" s="271"/>
      <c r="H884" s="271"/>
      <c r="I884" s="271"/>
      <c r="J884" s="271"/>
      <c r="K884" s="271"/>
      <c r="L884" s="271"/>
      <c r="M884" s="271"/>
      <c r="N884" s="271"/>
      <c r="O884" s="273"/>
      <c r="Q884" s="230"/>
      <c r="R884" s="230"/>
    </row>
    <row r="885" spans="1:18" s="225" customFormat="1" hidden="1" x14ac:dyDescent="0.2">
      <c r="A885" s="270"/>
      <c r="B885" s="270"/>
      <c r="C885" s="280"/>
      <c r="D885" s="281"/>
      <c r="E885" s="271"/>
      <c r="F885" s="271"/>
      <c r="G885" s="271"/>
      <c r="H885" s="271"/>
      <c r="I885" s="271"/>
      <c r="J885" s="271"/>
      <c r="K885" s="271"/>
      <c r="L885" s="271"/>
      <c r="M885" s="271"/>
      <c r="N885" s="271"/>
      <c r="O885" s="273"/>
      <c r="Q885" s="230"/>
      <c r="R885" s="230"/>
    </row>
    <row r="886" spans="1:18" s="225" customFormat="1" hidden="1" x14ac:dyDescent="0.2">
      <c r="A886" s="270"/>
      <c r="B886" s="270"/>
      <c r="C886" s="280"/>
      <c r="D886" s="281"/>
      <c r="E886" s="271"/>
      <c r="F886" s="271"/>
      <c r="G886" s="271"/>
      <c r="H886" s="271"/>
      <c r="I886" s="271"/>
      <c r="J886" s="271"/>
      <c r="K886" s="271"/>
      <c r="L886" s="271"/>
      <c r="M886" s="271"/>
      <c r="N886" s="271"/>
      <c r="O886" s="273"/>
      <c r="Q886" s="230"/>
      <c r="R886" s="230"/>
    </row>
    <row r="887" spans="1:18" s="225" customFormat="1" hidden="1" x14ac:dyDescent="0.2">
      <c r="A887" s="270"/>
      <c r="B887" s="270"/>
      <c r="C887" s="280"/>
      <c r="D887" s="281"/>
      <c r="E887" s="271"/>
      <c r="F887" s="271"/>
      <c r="G887" s="271"/>
      <c r="H887" s="271"/>
      <c r="I887" s="271"/>
      <c r="J887" s="271"/>
      <c r="K887" s="271"/>
      <c r="L887" s="271"/>
      <c r="M887" s="271"/>
      <c r="N887" s="271"/>
      <c r="O887" s="273"/>
      <c r="Q887" s="230"/>
      <c r="R887" s="230"/>
    </row>
    <row r="888" spans="1:18" s="225" customFormat="1" hidden="1" x14ac:dyDescent="0.2">
      <c r="A888" s="270"/>
      <c r="B888" s="270"/>
      <c r="C888" s="280"/>
      <c r="D888" s="281"/>
      <c r="E888" s="271"/>
      <c r="F888" s="271"/>
      <c r="G888" s="271"/>
      <c r="H888" s="271"/>
      <c r="I888" s="271"/>
      <c r="J888" s="271"/>
      <c r="K888" s="271"/>
      <c r="L888" s="271"/>
      <c r="M888" s="271"/>
      <c r="N888" s="271"/>
      <c r="O888" s="273"/>
      <c r="Q888" s="230"/>
      <c r="R888" s="230"/>
    </row>
    <row r="889" spans="1:18" s="225" customFormat="1" hidden="1" x14ac:dyDescent="0.2">
      <c r="A889" s="270"/>
      <c r="B889" s="270"/>
      <c r="C889" s="280"/>
      <c r="D889" s="281"/>
      <c r="E889" s="271"/>
      <c r="F889" s="271"/>
      <c r="G889" s="271"/>
      <c r="H889" s="271"/>
      <c r="I889" s="271"/>
      <c r="J889" s="271"/>
      <c r="K889" s="271"/>
      <c r="L889" s="271"/>
      <c r="M889" s="271"/>
      <c r="N889" s="271"/>
      <c r="O889" s="273"/>
      <c r="Q889" s="230"/>
      <c r="R889" s="230"/>
    </row>
    <row r="890" spans="1:18" s="225" customFormat="1" hidden="1" x14ac:dyDescent="0.2">
      <c r="A890" s="270"/>
      <c r="B890" s="270"/>
      <c r="C890" s="280"/>
      <c r="D890" s="281"/>
      <c r="E890" s="271"/>
      <c r="F890" s="271"/>
      <c r="G890" s="271"/>
      <c r="H890" s="271"/>
      <c r="I890" s="271"/>
      <c r="J890" s="271"/>
      <c r="K890" s="271"/>
      <c r="L890" s="271"/>
      <c r="M890" s="271"/>
      <c r="N890" s="271"/>
      <c r="O890" s="273"/>
      <c r="Q890" s="230"/>
      <c r="R890" s="230"/>
    </row>
    <row r="891" spans="1:18" s="225" customFormat="1" hidden="1" x14ac:dyDescent="0.2">
      <c r="A891" s="270"/>
      <c r="B891" s="270"/>
      <c r="C891" s="280"/>
      <c r="D891" s="281"/>
      <c r="E891" s="271"/>
      <c r="F891" s="271"/>
      <c r="G891" s="271"/>
      <c r="H891" s="271"/>
      <c r="I891" s="271"/>
      <c r="J891" s="271"/>
      <c r="K891" s="271"/>
      <c r="L891" s="271"/>
      <c r="M891" s="271"/>
      <c r="N891" s="271"/>
      <c r="O891" s="273"/>
      <c r="Q891" s="230"/>
      <c r="R891" s="230"/>
    </row>
    <row r="892" spans="1:18" s="225" customFormat="1" hidden="1" x14ac:dyDescent="0.2">
      <c r="A892" s="270"/>
      <c r="B892" s="270"/>
      <c r="C892" s="280"/>
      <c r="D892" s="281"/>
      <c r="E892" s="271"/>
      <c r="F892" s="271"/>
      <c r="G892" s="271"/>
      <c r="H892" s="271"/>
      <c r="I892" s="271"/>
      <c r="J892" s="271"/>
      <c r="K892" s="271"/>
      <c r="L892" s="271"/>
      <c r="M892" s="271"/>
      <c r="N892" s="271"/>
      <c r="O892" s="273"/>
      <c r="Q892" s="230"/>
      <c r="R892" s="230"/>
    </row>
    <row r="893" spans="1:18" s="225" customFormat="1" hidden="1" x14ac:dyDescent="0.2">
      <c r="A893" s="270"/>
      <c r="B893" s="270"/>
      <c r="C893" s="280"/>
      <c r="D893" s="281"/>
      <c r="E893" s="271"/>
      <c r="F893" s="271"/>
      <c r="G893" s="271"/>
      <c r="H893" s="271"/>
      <c r="I893" s="271"/>
      <c r="J893" s="271"/>
      <c r="K893" s="271"/>
      <c r="L893" s="271"/>
      <c r="M893" s="271"/>
      <c r="N893" s="271"/>
      <c r="O893" s="273"/>
      <c r="Q893" s="230"/>
      <c r="R893" s="230"/>
    </row>
    <row r="894" spans="1:18" s="225" customFormat="1" hidden="1" x14ac:dyDescent="0.2">
      <c r="A894" s="270"/>
      <c r="B894" s="270"/>
      <c r="C894" s="280"/>
      <c r="D894" s="281"/>
      <c r="E894" s="271"/>
      <c r="F894" s="271"/>
      <c r="G894" s="271"/>
      <c r="H894" s="271"/>
      <c r="I894" s="271"/>
      <c r="J894" s="271"/>
      <c r="K894" s="271"/>
      <c r="L894" s="271"/>
      <c r="M894" s="271"/>
      <c r="N894" s="271"/>
      <c r="O894" s="273"/>
      <c r="Q894" s="230"/>
      <c r="R894" s="230"/>
    </row>
    <row r="895" spans="1:18" s="225" customFormat="1" hidden="1" x14ac:dyDescent="0.2">
      <c r="A895" s="270"/>
      <c r="B895" s="270"/>
      <c r="C895" s="280"/>
      <c r="D895" s="281"/>
      <c r="E895" s="271"/>
      <c r="F895" s="271"/>
      <c r="G895" s="271"/>
      <c r="H895" s="271"/>
      <c r="I895" s="271"/>
      <c r="J895" s="271"/>
      <c r="K895" s="271"/>
      <c r="L895" s="271"/>
      <c r="M895" s="271"/>
      <c r="N895" s="271"/>
      <c r="O895" s="273"/>
      <c r="Q895" s="230"/>
      <c r="R895" s="230"/>
    </row>
    <row r="896" spans="1:18" s="225" customFormat="1" hidden="1" x14ac:dyDescent="0.2">
      <c r="A896" s="270"/>
      <c r="B896" s="270"/>
      <c r="C896" s="280"/>
      <c r="D896" s="281"/>
      <c r="E896" s="271"/>
      <c r="F896" s="271"/>
      <c r="G896" s="271"/>
      <c r="H896" s="271"/>
      <c r="I896" s="271"/>
      <c r="J896" s="271"/>
      <c r="K896" s="271"/>
      <c r="L896" s="271"/>
      <c r="M896" s="271"/>
      <c r="N896" s="271"/>
      <c r="O896" s="273"/>
      <c r="Q896" s="230"/>
      <c r="R896" s="230"/>
    </row>
    <row r="897" spans="1:18" s="225" customFormat="1" hidden="1" x14ac:dyDescent="0.2">
      <c r="A897" s="270"/>
      <c r="B897" s="270"/>
      <c r="C897" s="280"/>
      <c r="D897" s="281"/>
      <c r="E897" s="271"/>
      <c r="F897" s="271"/>
      <c r="G897" s="271"/>
      <c r="H897" s="271"/>
      <c r="I897" s="271"/>
      <c r="J897" s="271"/>
      <c r="K897" s="271"/>
      <c r="L897" s="271"/>
      <c r="M897" s="271"/>
      <c r="N897" s="271"/>
      <c r="O897" s="273"/>
      <c r="Q897" s="230"/>
      <c r="R897" s="230"/>
    </row>
    <row r="898" spans="1:18" s="225" customFormat="1" hidden="1" x14ac:dyDescent="0.2">
      <c r="A898" s="270"/>
      <c r="B898" s="270"/>
      <c r="C898" s="280"/>
      <c r="D898" s="281"/>
      <c r="E898" s="271"/>
      <c r="F898" s="271"/>
      <c r="G898" s="271"/>
      <c r="H898" s="271"/>
      <c r="I898" s="271"/>
      <c r="J898" s="271"/>
      <c r="K898" s="271"/>
      <c r="L898" s="271"/>
      <c r="M898" s="271"/>
      <c r="N898" s="271"/>
      <c r="O898" s="273"/>
      <c r="Q898" s="230"/>
      <c r="R898" s="230"/>
    </row>
    <row r="899" spans="1:18" s="225" customFormat="1" hidden="1" x14ac:dyDescent="0.2">
      <c r="A899" s="270"/>
      <c r="B899" s="270"/>
      <c r="C899" s="280"/>
      <c r="D899" s="281"/>
      <c r="E899" s="271"/>
      <c r="F899" s="271"/>
      <c r="G899" s="271"/>
      <c r="H899" s="271"/>
      <c r="I899" s="271"/>
      <c r="J899" s="271"/>
      <c r="K899" s="271"/>
      <c r="L899" s="271"/>
      <c r="M899" s="271"/>
      <c r="N899" s="271"/>
      <c r="O899" s="273"/>
      <c r="Q899" s="230"/>
      <c r="R899" s="230"/>
    </row>
    <row r="900" spans="1:18" s="225" customFormat="1" hidden="1" x14ac:dyDescent="0.2">
      <c r="A900" s="270"/>
      <c r="B900" s="270"/>
      <c r="C900" s="280"/>
      <c r="D900" s="281"/>
      <c r="E900" s="271"/>
      <c r="F900" s="271"/>
      <c r="G900" s="271"/>
      <c r="H900" s="271"/>
      <c r="I900" s="271"/>
      <c r="J900" s="271"/>
      <c r="K900" s="271"/>
      <c r="L900" s="271"/>
      <c r="M900" s="271"/>
      <c r="N900" s="271"/>
      <c r="O900" s="273"/>
      <c r="Q900" s="230"/>
      <c r="R900" s="230"/>
    </row>
    <row r="901" spans="1:18" s="225" customFormat="1" hidden="1" x14ac:dyDescent="0.2">
      <c r="A901" s="270"/>
      <c r="B901" s="270"/>
      <c r="C901" s="280"/>
      <c r="D901" s="281"/>
      <c r="E901" s="271"/>
      <c r="F901" s="271"/>
      <c r="G901" s="271"/>
      <c r="H901" s="271"/>
      <c r="I901" s="271"/>
      <c r="J901" s="271"/>
      <c r="K901" s="271"/>
      <c r="L901" s="271"/>
      <c r="M901" s="271"/>
      <c r="N901" s="271"/>
      <c r="O901" s="273"/>
      <c r="Q901" s="230"/>
      <c r="R901" s="230"/>
    </row>
    <row r="902" spans="1:18" s="225" customFormat="1" hidden="1" x14ac:dyDescent="0.2">
      <c r="A902" s="270"/>
      <c r="B902" s="270"/>
      <c r="C902" s="280"/>
      <c r="D902" s="281"/>
      <c r="E902" s="271"/>
      <c r="F902" s="271"/>
      <c r="G902" s="271"/>
      <c r="H902" s="271"/>
      <c r="I902" s="271"/>
      <c r="J902" s="271"/>
      <c r="K902" s="271"/>
      <c r="L902" s="271"/>
      <c r="M902" s="271"/>
      <c r="N902" s="271"/>
      <c r="O902" s="273"/>
      <c r="Q902" s="230"/>
      <c r="R902" s="230"/>
    </row>
    <row r="903" spans="1:18" s="225" customFormat="1" hidden="1" x14ac:dyDescent="0.2">
      <c r="A903" s="270"/>
      <c r="B903" s="270"/>
      <c r="C903" s="280"/>
      <c r="D903" s="281"/>
      <c r="E903" s="271"/>
      <c r="F903" s="271"/>
      <c r="G903" s="271"/>
      <c r="H903" s="271"/>
      <c r="I903" s="271"/>
      <c r="J903" s="271"/>
      <c r="K903" s="271"/>
      <c r="L903" s="271"/>
      <c r="M903" s="271"/>
      <c r="N903" s="271"/>
      <c r="O903" s="273"/>
      <c r="Q903" s="230"/>
      <c r="R903" s="230"/>
    </row>
    <row r="904" spans="1:18" s="225" customFormat="1" hidden="1" x14ac:dyDescent="0.2">
      <c r="A904" s="270"/>
      <c r="B904" s="270"/>
      <c r="C904" s="280"/>
      <c r="D904" s="281"/>
      <c r="E904" s="271"/>
      <c r="F904" s="271"/>
      <c r="G904" s="271"/>
      <c r="H904" s="271"/>
      <c r="I904" s="271"/>
      <c r="J904" s="271"/>
      <c r="K904" s="271"/>
      <c r="L904" s="271"/>
      <c r="M904" s="271"/>
      <c r="N904" s="271"/>
      <c r="O904" s="273"/>
      <c r="Q904" s="230"/>
      <c r="R904" s="230"/>
    </row>
    <row r="905" spans="1:18" s="225" customFormat="1" hidden="1" x14ac:dyDescent="0.2">
      <c r="A905" s="270"/>
      <c r="B905" s="270"/>
      <c r="C905" s="280"/>
      <c r="D905" s="281"/>
      <c r="E905" s="271"/>
      <c r="F905" s="271"/>
      <c r="G905" s="271"/>
      <c r="H905" s="271"/>
      <c r="I905" s="271"/>
      <c r="J905" s="271"/>
      <c r="K905" s="271"/>
      <c r="L905" s="271"/>
      <c r="M905" s="271"/>
      <c r="N905" s="271"/>
      <c r="O905" s="273"/>
      <c r="Q905" s="230"/>
      <c r="R905" s="230"/>
    </row>
    <row r="906" spans="1:18" s="225" customFormat="1" hidden="1" x14ac:dyDescent="0.2">
      <c r="A906" s="270"/>
      <c r="B906" s="270"/>
      <c r="C906" s="280"/>
      <c r="D906" s="281"/>
      <c r="E906" s="271"/>
      <c r="F906" s="271"/>
      <c r="G906" s="271"/>
      <c r="H906" s="271"/>
      <c r="I906" s="271"/>
      <c r="J906" s="271"/>
      <c r="K906" s="271"/>
      <c r="L906" s="271"/>
      <c r="M906" s="271"/>
      <c r="N906" s="271"/>
      <c r="O906" s="273"/>
      <c r="Q906" s="230"/>
      <c r="R906" s="230"/>
    </row>
    <row r="907" spans="1:18" s="225" customFormat="1" hidden="1" x14ac:dyDescent="0.2">
      <c r="A907" s="270"/>
      <c r="B907" s="270"/>
      <c r="C907" s="280"/>
      <c r="D907" s="281"/>
      <c r="E907" s="271"/>
      <c r="F907" s="271"/>
      <c r="G907" s="271"/>
      <c r="H907" s="271"/>
      <c r="I907" s="271"/>
      <c r="J907" s="271"/>
      <c r="K907" s="271"/>
      <c r="L907" s="271"/>
      <c r="M907" s="271"/>
      <c r="N907" s="271"/>
      <c r="O907" s="273"/>
      <c r="Q907" s="230"/>
      <c r="R907" s="230"/>
    </row>
    <row r="908" spans="1:18" s="225" customFormat="1" hidden="1" x14ac:dyDescent="0.2">
      <c r="A908" s="270"/>
      <c r="B908" s="270"/>
      <c r="C908" s="280"/>
      <c r="D908" s="281"/>
      <c r="E908" s="271"/>
      <c r="F908" s="271"/>
      <c r="G908" s="271"/>
      <c r="H908" s="271"/>
      <c r="I908" s="271"/>
      <c r="J908" s="271"/>
      <c r="K908" s="271"/>
      <c r="L908" s="271"/>
      <c r="M908" s="271"/>
      <c r="N908" s="271"/>
      <c r="O908" s="273"/>
      <c r="Q908" s="230"/>
      <c r="R908" s="230"/>
    </row>
    <row r="909" spans="1:18" s="225" customFormat="1" hidden="1" x14ac:dyDescent="0.2">
      <c r="A909" s="270"/>
      <c r="B909" s="270"/>
      <c r="C909" s="280"/>
      <c r="D909" s="281"/>
      <c r="E909" s="271"/>
      <c r="F909" s="271"/>
      <c r="G909" s="271"/>
      <c r="H909" s="271"/>
      <c r="I909" s="271"/>
      <c r="J909" s="271"/>
      <c r="K909" s="271"/>
      <c r="L909" s="271"/>
      <c r="M909" s="271"/>
      <c r="N909" s="271"/>
      <c r="O909" s="273"/>
      <c r="Q909" s="230"/>
      <c r="R909" s="230"/>
    </row>
    <row r="910" spans="1:18" s="225" customFormat="1" hidden="1" x14ac:dyDescent="0.2">
      <c r="A910" s="270"/>
      <c r="B910" s="270"/>
      <c r="C910" s="280"/>
      <c r="D910" s="281"/>
      <c r="E910" s="271"/>
      <c r="F910" s="271"/>
      <c r="G910" s="271"/>
      <c r="H910" s="271"/>
      <c r="I910" s="271"/>
      <c r="J910" s="271"/>
      <c r="K910" s="271"/>
      <c r="L910" s="271"/>
      <c r="M910" s="271"/>
      <c r="N910" s="271"/>
      <c r="O910" s="273"/>
      <c r="Q910" s="230"/>
      <c r="R910" s="230"/>
    </row>
    <row r="911" spans="1:18" s="225" customFormat="1" hidden="1" x14ac:dyDescent="0.2">
      <c r="A911" s="270"/>
      <c r="B911" s="270"/>
      <c r="C911" s="280"/>
      <c r="D911" s="281"/>
      <c r="E911" s="271"/>
      <c r="F911" s="271"/>
      <c r="G911" s="271"/>
      <c r="H911" s="271"/>
      <c r="I911" s="271"/>
      <c r="J911" s="271"/>
      <c r="K911" s="271"/>
      <c r="L911" s="271"/>
      <c r="M911" s="271"/>
      <c r="N911" s="271"/>
      <c r="O911" s="273"/>
      <c r="Q911" s="230"/>
      <c r="R911" s="230"/>
    </row>
    <row r="912" spans="1:18" s="225" customFormat="1" hidden="1" x14ac:dyDescent="0.2">
      <c r="A912" s="270"/>
      <c r="B912" s="270"/>
      <c r="C912" s="280"/>
      <c r="D912" s="281"/>
      <c r="E912" s="271"/>
      <c r="F912" s="271"/>
      <c r="G912" s="271"/>
      <c r="H912" s="271"/>
      <c r="I912" s="271"/>
      <c r="J912" s="271"/>
      <c r="K912" s="271"/>
      <c r="L912" s="271"/>
      <c r="M912" s="271"/>
      <c r="N912" s="271"/>
      <c r="O912" s="273"/>
      <c r="Q912" s="230"/>
      <c r="R912" s="230"/>
    </row>
    <row r="913" spans="1:18" s="225" customFormat="1" hidden="1" x14ac:dyDescent="0.2">
      <c r="A913" s="270"/>
      <c r="B913" s="270"/>
      <c r="C913" s="280"/>
      <c r="D913" s="281"/>
      <c r="E913" s="271"/>
      <c r="F913" s="271"/>
      <c r="G913" s="271"/>
      <c r="H913" s="271"/>
      <c r="I913" s="271"/>
      <c r="J913" s="271"/>
      <c r="K913" s="271"/>
      <c r="L913" s="271"/>
      <c r="M913" s="271"/>
      <c r="N913" s="271"/>
      <c r="O913" s="273"/>
      <c r="Q913" s="230"/>
      <c r="R913" s="230"/>
    </row>
    <row r="914" spans="1:18" s="225" customFormat="1" hidden="1" x14ac:dyDescent="0.2">
      <c r="A914" s="270"/>
      <c r="B914" s="270"/>
      <c r="C914" s="280"/>
      <c r="D914" s="281"/>
      <c r="E914" s="271"/>
      <c r="F914" s="271"/>
      <c r="G914" s="271"/>
      <c r="H914" s="271"/>
      <c r="I914" s="271"/>
      <c r="J914" s="271"/>
      <c r="K914" s="271"/>
      <c r="L914" s="271"/>
      <c r="M914" s="271"/>
      <c r="N914" s="271"/>
      <c r="O914" s="273"/>
      <c r="Q914" s="230"/>
      <c r="R914" s="230"/>
    </row>
    <row r="915" spans="1:18" s="225" customFormat="1" hidden="1" x14ac:dyDescent="0.2">
      <c r="A915" s="270"/>
      <c r="B915" s="270"/>
      <c r="C915" s="280"/>
      <c r="D915" s="281"/>
      <c r="E915" s="271"/>
      <c r="F915" s="271"/>
      <c r="G915" s="271"/>
      <c r="H915" s="271"/>
      <c r="I915" s="271"/>
      <c r="J915" s="271"/>
      <c r="K915" s="271"/>
      <c r="L915" s="271"/>
      <c r="M915" s="271"/>
      <c r="N915" s="271"/>
      <c r="O915" s="273"/>
      <c r="Q915" s="230"/>
      <c r="R915" s="230"/>
    </row>
    <row r="916" spans="1:18" s="225" customFormat="1" hidden="1" x14ac:dyDescent="0.2">
      <c r="A916" s="270"/>
      <c r="B916" s="270"/>
      <c r="C916" s="280"/>
      <c r="D916" s="281"/>
      <c r="E916" s="271"/>
      <c r="F916" s="271"/>
      <c r="G916" s="271"/>
      <c r="H916" s="271"/>
      <c r="I916" s="271"/>
      <c r="J916" s="271"/>
      <c r="K916" s="271"/>
      <c r="L916" s="271"/>
      <c r="M916" s="271"/>
      <c r="N916" s="271"/>
      <c r="O916" s="273"/>
      <c r="Q916" s="230"/>
      <c r="R916" s="230"/>
    </row>
    <row r="917" spans="1:18" s="225" customFormat="1" hidden="1" x14ac:dyDescent="0.2">
      <c r="A917" s="270"/>
      <c r="B917" s="270"/>
      <c r="C917" s="280"/>
      <c r="D917" s="281"/>
      <c r="E917" s="271"/>
      <c r="F917" s="271"/>
      <c r="G917" s="271"/>
      <c r="H917" s="271"/>
      <c r="I917" s="271"/>
      <c r="J917" s="271"/>
      <c r="K917" s="271"/>
      <c r="L917" s="271"/>
      <c r="M917" s="271"/>
      <c r="N917" s="271"/>
      <c r="O917" s="273"/>
      <c r="Q917" s="230"/>
      <c r="R917" s="230"/>
    </row>
    <row r="918" spans="1:18" s="225" customFormat="1" hidden="1" x14ac:dyDescent="0.2">
      <c r="A918" s="270"/>
      <c r="B918" s="270"/>
      <c r="C918" s="280"/>
      <c r="D918" s="281"/>
      <c r="E918" s="271"/>
      <c r="F918" s="271"/>
      <c r="G918" s="271"/>
      <c r="H918" s="271"/>
      <c r="I918" s="271"/>
      <c r="J918" s="271"/>
      <c r="K918" s="271"/>
      <c r="L918" s="271"/>
      <c r="M918" s="271"/>
      <c r="N918" s="271"/>
      <c r="O918" s="273"/>
      <c r="Q918" s="230"/>
      <c r="R918" s="230"/>
    </row>
    <row r="919" spans="1:18" s="225" customFormat="1" hidden="1" x14ac:dyDescent="0.2">
      <c r="A919" s="270"/>
      <c r="B919" s="270"/>
      <c r="C919" s="280"/>
      <c r="D919" s="281"/>
      <c r="E919" s="271"/>
      <c r="F919" s="271"/>
      <c r="G919" s="271"/>
      <c r="H919" s="271"/>
      <c r="I919" s="271"/>
      <c r="J919" s="271"/>
      <c r="K919" s="271"/>
      <c r="L919" s="271"/>
      <c r="M919" s="271"/>
      <c r="N919" s="271"/>
      <c r="O919" s="273"/>
      <c r="Q919" s="230"/>
      <c r="R919" s="230"/>
    </row>
    <row r="920" spans="1:18" s="225" customFormat="1" hidden="1" x14ac:dyDescent="0.2">
      <c r="A920" s="270"/>
      <c r="B920" s="270"/>
      <c r="C920" s="280"/>
      <c r="D920" s="281"/>
      <c r="E920" s="271"/>
      <c r="F920" s="271"/>
      <c r="G920" s="271"/>
      <c r="H920" s="271"/>
      <c r="I920" s="271"/>
      <c r="J920" s="271"/>
      <c r="K920" s="271"/>
      <c r="L920" s="271"/>
      <c r="M920" s="271"/>
      <c r="N920" s="271"/>
      <c r="O920" s="273"/>
      <c r="Q920" s="230"/>
      <c r="R920" s="230"/>
    </row>
    <row r="921" spans="1:18" s="225" customFormat="1" hidden="1" x14ac:dyDescent="0.2">
      <c r="A921" s="270"/>
      <c r="B921" s="270"/>
      <c r="C921" s="280"/>
      <c r="D921" s="281"/>
      <c r="E921" s="271"/>
      <c r="F921" s="271"/>
      <c r="G921" s="271"/>
      <c r="H921" s="271"/>
      <c r="I921" s="271"/>
      <c r="J921" s="271"/>
      <c r="K921" s="271"/>
      <c r="L921" s="271"/>
      <c r="M921" s="271"/>
      <c r="N921" s="271"/>
      <c r="O921" s="273"/>
      <c r="Q921" s="230"/>
      <c r="R921" s="230"/>
    </row>
    <row r="922" spans="1:18" s="225" customFormat="1" hidden="1" x14ac:dyDescent="0.2">
      <c r="A922" s="270"/>
      <c r="B922" s="270"/>
      <c r="C922" s="280"/>
      <c r="D922" s="281"/>
      <c r="E922" s="271"/>
      <c r="F922" s="271"/>
      <c r="G922" s="271"/>
      <c r="H922" s="271"/>
      <c r="I922" s="271"/>
      <c r="J922" s="271"/>
      <c r="K922" s="271"/>
      <c r="L922" s="271"/>
      <c r="M922" s="271"/>
      <c r="N922" s="271"/>
      <c r="O922" s="273"/>
      <c r="Q922" s="230"/>
      <c r="R922" s="230"/>
    </row>
    <row r="923" spans="1:18" s="225" customFormat="1" hidden="1" x14ac:dyDescent="0.2">
      <c r="A923" s="270"/>
      <c r="B923" s="270"/>
      <c r="C923" s="280"/>
      <c r="D923" s="281"/>
      <c r="E923" s="271"/>
      <c r="F923" s="271"/>
      <c r="G923" s="271"/>
      <c r="H923" s="271"/>
      <c r="I923" s="271"/>
      <c r="J923" s="271"/>
      <c r="K923" s="271"/>
      <c r="L923" s="271"/>
      <c r="M923" s="271"/>
      <c r="N923" s="271"/>
      <c r="O923" s="273"/>
      <c r="Q923" s="230"/>
      <c r="R923" s="230"/>
    </row>
    <row r="924" spans="1:18" s="225" customFormat="1" hidden="1" x14ac:dyDescent="0.2">
      <c r="A924" s="270"/>
      <c r="B924" s="270"/>
      <c r="C924" s="280"/>
      <c r="D924" s="281"/>
      <c r="E924" s="271"/>
      <c r="F924" s="271"/>
      <c r="G924" s="271"/>
      <c r="H924" s="271"/>
      <c r="I924" s="271"/>
      <c r="J924" s="271"/>
      <c r="K924" s="271"/>
      <c r="L924" s="271"/>
      <c r="M924" s="271"/>
      <c r="N924" s="271"/>
      <c r="O924" s="273"/>
      <c r="Q924" s="230"/>
      <c r="R924" s="230"/>
    </row>
    <row r="925" spans="1:18" s="225" customFormat="1" hidden="1" x14ac:dyDescent="0.2">
      <c r="A925" s="270"/>
      <c r="B925" s="270"/>
      <c r="C925" s="280"/>
      <c r="D925" s="281"/>
      <c r="E925" s="271"/>
      <c r="F925" s="271"/>
      <c r="G925" s="271"/>
      <c r="H925" s="271"/>
      <c r="I925" s="271"/>
      <c r="J925" s="271"/>
      <c r="K925" s="271"/>
      <c r="L925" s="271"/>
      <c r="M925" s="271"/>
      <c r="N925" s="271"/>
      <c r="O925" s="273"/>
      <c r="Q925" s="230"/>
      <c r="R925" s="230"/>
    </row>
    <row r="926" spans="1:18" s="225" customFormat="1" hidden="1" x14ac:dyDescent="0.2">
      <c r="A926" s="270"/>
      <c r="B926" s="270"/>
      <c r="C926" s="280"/>
      <c r="D926" s="281"/>
      <c r="E926" s="271"/>
      <c r="F926" s="271"/>
      <c r="G926" s="271"/>
      <c r="H926" s="271"/>
      <c r="I926" s="271"/>
      <c r="J926" s="271"/>
      <c r="K926" s="271"/>
      <c r="L926" s="271"/>
      <c r="M926" s="271"/>
      <c r="N926" s="271"/>
      <c r="O926" s="273"/>
      <c r="Q926" s="230"/>
      <c r="R926" s="230"/>
    </row>
    <row r="927" spans="1:18" s="225" customFormat="1" hidden="1" x14ac:dyDescent="0.2">
      <c r="A927" s="270"/>
      <c r="B927" s="270"/>
      <c r="C927" s="280"/>
      <c r="D927" s="281"/>
      <c r="E927" s="271"/>
      <c r="F927" s="271"/>
      <c r="G927" s="271"/>
      <c r="H927" s="271"/>
      <c r="I927" s="271"/>
      <c r="J927" s="271"/>
      <c r="K927" s="271"/>
      <c r="L927" s="271"/>
      <c r="M927" s="271"/>
      <c r="N927" s="271"/>
      <c r="O927" s="273"/>
      <c r="Q927" s="230"/>
      <c r="R927" s="230"/>
    </row>
    <row r="928" spans="1:18" s="225" customFormat="1" hidden="1" x14ac:dyDescent="0.2">
      <c r="A928" s="270"/>
      <c r="B928" s="270"/>
      <c r="C928" s="280"/>
      <c r="D928" s="281"/>
      <c r="E928" s="271"/>
      <c r="F928" s="271"/>
      <c r="G928" s="271"/>
      <c r="H928" s="271"/>
      <c r="I928" s="271"/>
      <c r="J928" s="271"/>
      <c r="K928" s="271"/>
      <c r="L928" s="271"/>
      <c r="M928" s="271"/>
      <c r="N928" s="271"/>
      <c r="O928" s="273"/>
      <c r="Q928" s="230"/>
      <c r="R928" s="230"/>
    </row>
    <row r="929" spans="1:18" s="225" customFormat="1" hidden="1" x14ac:dyDescent="0.2">
      <c r="A929" s="270"/>
      <c r="B929" s="270"/>
      <c r="C929" s="280"/>
      <c r="D929" s="281"/>
      <c r="E929" s="271"/>
      <c r="F929" s="271"/>
      <c r="G929" s="271"/>
      <c r="H929" s="271"/>
      <c r="I929" s="271"/>
      <c r="J929" s="271"/>
      <c r="K929" s="271"/>
      <c r="L929" s="271"/>
      <c r="M929" s="271"/>
      <c r="N929" s="271"/>
      <c r="O929" s="273"/>
      <c r="Q929" s="230"/>
      <c r="R929" s="230"/>
    </row>
    <row r="930" spans="1:18" s="225" customFormat="1" hidden="1" x14ac:dyDescent="0.2">
      <c r="A930" s="270"/>
      <c r="B930" s="270"/>
      <c r="C930" s="280"/>
      <c r="D930" s="281"/>
      <c r="E930" s="271"/>
      <c r="F930" s="271"/>
      <c r="G930" s="271"/>
      <c r="H930" s="271"/>
      <c r="I930" s="271"/>
      <c r="J930" s="271"/>
      <c r="K930" s="271"/>
      <c r="L930" s="271"/>
      <c r="M930" s="271"/>
      <c r="N930" s="271"/>
      <c r="O930" s="273"/>
      <c r="Q930" s="230"/>
      <c r="R930" s="230"/>
    </row>
    <row r="931" spans="1:18" s="225" customFormat="1" hidden="1" x14ac:dyDescent="0.2">
      <c r="A931" s="270"/>
      <c r="B931" s="270"/>
      <c r="C931" s="280"/>
      <c r="D931" s="281"/>
      <c r="E931" s="271"/>
      <c r="F931" s="271"/>
      <c r="G931" s="271"/>
      <c r="H931" s="271"/>
      <c r="I931" s="271"/>
      <c r="J931" s="271"/>
      <c r="K931" s="271"/>
      <c r="L931" s="271"/>
      <c r="M931" s="271"/>
      <c r="N931" s="271"/>
      <c r="O931" s="273"/>
      <c r="Q931" s="230"/>
      <c r="R931" s="230"/>
    </row>
    <row r="932" spans="1:18" s="225" customFormat="1" hidden="1" x14ac:dyDescent="0.2">
      <c r="A932" s="270"/>
      <c r="B932" s="270"/>
      <c r="C932" s="280"/>
      <c r="D932" s="281"/>
      <c r="E932" s="271"/>
      <c r="F932" s="271"/>
      <c r="G932" s="271"/>
      <c r="H932" s="271"/>
      <c r="I932" s="271"/>
      <c r="J932" s="271"/>
      <c r="K932" s="271"/>
      <c r="L932" s="271"/>
      <c r="M932" s="271"/>
      <c r="N932" s="271"/>
      <c r="O932" s="273"/>
      <c r="Q932" s="230"/>
      <c r="R932" s="230"/>
    </row>
    <row r="933" spans="1:18" s="225" customFormat="1" hidden="1" x14ac:dyDescent="0.2">
      <c r="A933" s="270"/>
      <c r="B933" s="270"/>
      <c r="C933" s="280"/>
      <c r="D933" s="281"/>
      <c r="E933" s="271"/>
      <c r="F933" s="271"/>
      <c r="G933" s="271"/>
      <c r="H933" s="271"/>
      <c r="I933" s="271"/>
      <c r="J933" s="271"/>
      <c r="K933" s="271"/>
      <c r="L933" s="271"/>
      <c r="M933" s="271"/>
      <c r="N933" s="271"/>
      <c r="O933" s="273"/>
      <c r="Q933" s="230"/>
      <c r="R933" s="230"/>
    </row>
    <row r="934" spans="1:18" s="225" customFormat="1" hidden="1" x14ac:dyDescent="0.2">
      <c r="A934" s="270"/>
      <c r="B934" s="270"/>
      <c r="C934" s="280"/>
      <c r="D934" s="281"/>
      <c r="E934" s="271"/>
      <c r="F934" s="271"/>
      <c r="G934" s="271"/>
      <c r="H934" s="271"/>
      <c r="I934" s="271"/>
      <c r="J934" s="271"/>
      <c r="K934" s="271"/>
      <c r="L934" s="271"/>
      <c r="M934" s="271"/>
      <c r="N934" s="271"/>
      <c r="O934" s="273"/>
      <c r="Q934" s="230"/>
      <c r="R934" s="230"/>
    </row>
    <row r="935" spans="1:18" s="225" customFormat="1" hidden="1" x14ac:dyDescent="0.2">
      <c r="A935" s="270"/>
      <c r="B935" s="270"/>
      <c r="C935" s="280"/>
      <c r="D935" s="281"/>
      <c r="E935" s="271"/>
      <c r="F935" s="271"/>
      <c r="G935" s="271"/>
      <c r="H935" s="271"/>
      <c r="I935" s="271"/>
      <c r="J935" s="271"/>
      <c r="K935" s="271"/>
      <c r="L935" s="271"/>
      <c r="M935" s="271"/>
      <c r="N935" s="271"/>
      <c r="O935" s="273"/>
      <c r="Q935" s="230"/>
      <c r="R935" s="230"/>
    </row>
    <row r="936" spans="1:18" s="225" customFormat="1" hidden="1" x14ac:dyDescent="0.2">
      <c r="A936" s="270"/>
      <c r="B936" s="270"/>
      <c r="C936" s="280"/>
      <c r="D936" s="281"/>
      <c r="E936" s="271"/>
      <c r="F936" s="271"/>
      <c r="G936" s="271"/>
      <c r="H936" s="271"/>
      <c r="I936" s="271"/>
      <c r="J936" s="271"/>
      <c r="K936" s="271"/>
      <c r="L936" s="271"/>
      <c r="M936" s="271"/>
      <c r="N936" s="271"/>
      <c r="O936" s="273"/>
      <c r="Q936" s="230"/>
      <c r="R936" s="230"/>
    </row>
    <row r="937" spans="1:18" s="225" customFormat="1" hidden="1" x14ac:dyDescent="0.2">
      <c r="A937" s="270"/>
      <c r="B937" s="270"/>
      <c r="C937" s="280"/>
      <c r="D937" s="281"/>
      <c r="E937" s="271"/>
      <c r="F937" s="271"/>
      <c r="G937" s="271"/>
      <c r="H937" s="271"/>
      <c r="I937" s="271"/>
      <c r="J937" s="271"/>
      <c r="K937" s="271"/>
      <c r="L937" s="271"/>
      <c r="M937" s="271"/>
      <c r="N937" s="271"/>
      <c r="O937" s="273"/>
      <c r="Q937" s="230"/>
      <c r="R937" s="230"/>
    </row>
    <row r="938" spans="1:18" s="225" customFormat="1" hidden="1" x14ac:dyDescent="0.2">
      <c r="A938" s="270"/>
      <c r="B938" s="270"/>
      <c r="C938" s="280"/>
      <c r="D938" s="281"/>
      <c r="E938" s="271"/>
      <c r="F938" s="271"/>
      <c r="G938" s="271"/>
      <c r="H938" s="271"/>
      <c r="I938" s="271"/>
      <c r="J938" s="271"/>
      <c r="K938" s="271"/>
      <c r="L938" s="271"/>
      <c r="M938" s="271"/>
      <c r="N938" s="271"/>
      <c r="O938" s="273"/>
      <c r="Q938" s="230"/>
      <c r="R938" s="230"/>
    </row>
    <row r="939" spans="1:18" s="225" customFormat="1" hidden="1" x14ac:dyDescent="0.2">
      <c r="A939" s="270"/>
      <c r="B939" s="270"/>
      <c r="C939" s="280"/>
      <c r="D939" s="281"/>
      <c r="E939" s="271"/>
      <c r="F939" s="271"/>
      <c r="G939" s="271"/>
      <c r="H939" s="271"/>
      <c r="I939" s="271"/>
      <c r="J939" s="271"/>
      <c r="K939" s="271"/>
      <c r="L939" s="271"/>
      <c r="M939" s="271"/>
      <c r="N939" s="271"/>
      <c r="O939" s="273"/>
      <c r="Q939" s="230"/>
      <c r="R939" s="230"/>
    </row>
    <row r="940" spans="1:18" s="225" customFormat="1" hidden="1" x14ac:dyDescent="0.2">
      <c r="A940" s="270"/>
      <c r="B940" s="270"/>
      <c r="C940" s="280"/>
      <c r="D940" s="281"/>
      <c r="E940" s="271"/>
      <c r="F940" s="271"/>
      <c r="G940" s="271"/>
      <c r="H940" s="271"/>
      <c r="I940" s="271"/>
      <c r="J940" s="271"/>
      <c r="K940" s="271"/>
      <c r="L940" s="271"/>
      <c r="M940" s="271"/>
      <c r="N940" s="271"/>
      <c r="O940" s="273"/>
      <c r="Q940" s="230"/>
      <c r="R940" s="230"/>
    </row>
    <row r="941" spans="1:18" s="225" customFormat="1" hidden="1" x14ac:dyDescent="0.2">
      <c r="A941" s="270"/>
      <c r="B941" s="270"/>
      <c r="C941" s="280"/>
      <c r="D941" s="281"/>
      <c r="E941" s="271"/>
      <c r="F941" s="271"/>
      <c r="G941" s="271"/>
      <c r="H941" s="271"/>
      <c r="I941" s="271"/>
      <c r="J941" s="271"/>
      <c r="K941" s="271"/>
      <c r="L941" s="271"/>
      <c r="M941" s="271"/>
      <c r="N941" s="271"/>
      <c r="O941" s="273"/>
      <c r="Q941" s="230"/>
      <c r="R941" s="230"/>
    </row>
    <row r="942" spans="1:18" s="225" customFormat="1" hidden="1" x14ac:dyDescent="0.2">
      <c r="A942" s="270"/>
      <c r="B942" s="270"/>
      <c r="C942" s="280"/>
      <c r="D942" s="281"/>
      <c r="E942" s="271"/>
      <c r="F942" s="271"/>
      <c r="G942" s="271"/>
      <c r="H942" s="271"/>
      <c r="I942" s="271"/>
      <c r="J942" s="271"/>
      <c r="K942" s="271"/>
      <c r="L942" s="271"/>
      <c r="M942" s="271"/>
      <c r="N942" s="271"/>
      <c r="O942" s="273"/>
      <c r="Q942" s="230"/>
      <c r="R942" s="230"/>
    </row>
    <row r="943" spans="1:18" s="225" customFormat="1" hidden="1" x14ac:dyDescent="0.2">
      <c r="A943" s="270"/>
      <c r="B943" s="270"/>
      <c r="C943" s="280"/>
      <c r="D943" s="281"/>
      <c r="E943" s="271"/>
      <c r="F943" s="271"/>
      <c r="G943" s="271"/>
      <c r="H943" s="271"/>
      <c r="I943" s="271"/>
      <c r="J943" s="271"/>
      <c r="K943" s="271"/>
      <c r="L943" s="271"/>
      <c r="M943" s="271"/>
      <c r="N943" s="271"/>
      <c r="O943" s="273"/>
      <c r="Q943" s="230"/>
      <c r="R943" s="230"/>
    </row>
    <row r="944" spans="1:18" s="225" customFormat="1" hidden="1" x14ac:dyDescent="0.2">
      <c r="A944" s="270"/>
      <c r="B944" s="270"/>
      <c r="C944" s="280"/>
      <c r="D944" s="281"/>
      <c r="E944" s="271"/>
      <c r="F944" s="271"/>
      <c r="G944" s="271"/>
      <c r="H944" s="271"/>
      <c r="I944" s="271"/>
      <c r="J944" s="271"/>
      <c r="K944" s="271"/>
      <c r="L944" s="271"/>
      <c r="M944" s="271"/>
      <c r="N944" s="271"/>
      <c r="O944" s="273"/>
      <c r="Q944" s="230"/>
      <c r="R944" s="230"/>
    </row>
    <row r="945" spans="1:18" s="225" customFormat="1" hidden="1" x14ac:dyDescent="0.2">
      <c r="A945" s="270"/>
      <c r="B945" s="270"/>
      <c r="C945" s="280"/>
      <c r="D945" s="281"/>
      <c r="E945" s="271"/>
      <c r="F945" s="271"/>
      <c r="G945" s="271"/>
      <c r="H945" s="271"/>
      <c r="I945" s="271"/>
      <c r="J945" s="271"/>
      <c r="K945" s="271"/>
      <c r="L945" s="271"/>
      <c r="M945" s="271"/>
      <c r="N945" s="271"/>
      <c r="O945" s="273"/>
      <c r="Q945" s="230"/>
      <c r="R945" s="230"/>
    </row>
    <row r="946" spans="1:18" s="225" customFormat="1" hidden="1" x14ac:dyDescent="0.2">
      <c r="A946" s="270"/>
      <c r="B946" s="270"/>
      <c r="C946" s="280"/>
      <c r="D946" s="281"/>
      <c r="E946" s="271"/>
      <c r="F946" s="271"/>
      <c r="G946" s="271"/>
      <c r="H946" s="271"/>
      <c r="I946" s="271"/>
      <c r="J946" s="271"/>
      <c r="K946" s="271"/>
      <c r="L946" s="271"/>
      <c r="M946" s="271"/>
      <c r="N946" s="271"/>
      <c r="O946" s="273"/>
      <c r="Q946" s="230"/>
      <c r="R946" s="230"/>
    </row>
    <row r="947" spans="1:18" s="225" customFormat="1" hidden="1" x14ac:dyDescent="0.2">
      <c r="A947" s="270"/>
      <c r="B947" s="270"/>
      <c r="C947" s="280"/>
      <c r="D947" s="281"/>
      <c r="E947" s="271"/>
      <c r="F947" s="271"/>
      <c r="G947" s="271"/>
      <c r="H947" s="271"/>
      <c r="I947" s="271"/>
      <c r="J947" s="271"/>
      <c r="K947" s="271"/>
      <c r="L947" s="271"/>
      <c r="M947" s="271"/>
      <c r="N947" s="271"/>
      <c r="O947" s="273"/>
      <c r="Q947" s="230"/>
      <c r="R947" s="230"/>
    </row>
    <row r="948" spans="1:18" s="225" customFormat="1" hidden="1" x14ac:dyDescent="0.2">
      <c r="A948" s="270"/>
      <c r="B948" s="270"/>
      <c r="C948" s="280"/>
      <c r="D948" s="281"/>
      <c r="E948" s="271"/>
      <c r="F948" s="271"/>
      <c r="G948" s="271"/>
      <c r="H948" s="271"/>
      <c r="I948" s="271"/>
      <c r="J948" s="271"/>
      <c r="K948" s="271"/>
      <c r="L948" s="271"/>
      <c r="M948" s="271"/>
      <c r="N948" s="271"/>
      <c r="O948" s="273"/>
      <c r="Q948" s="230"/>
      <c r="R948" s="230"/>
    </row>
    <row r="949" spans="1:18" s="225" customFormat="1" hidden="1" x14ac:dyDescent="0.2">
      <c r="A949" s="270"/>
      <c r="B949" s="270"/>
      <c r="C949" s="280"/>
      <c r="D949" s="281"/>
      <c r="E949" s="271"/>
      <c r="F949" s="271"/>
      <c r="G949" s="271"/>
      <c r="H949" s="271"/>
      <c r="I949" s="271"/>
      <c r="J949" s="271"/>
      <c r="K949" s="271"/>
      <c r="L949" s="271"/>
      <c r="M949" s="271"/>
      <c r="N949" s="271"/>
      <c r="O949" s="273"/>
      <c r="Q949" s="230"/>
      <c r="R949" s="230"/>
    </row>
    <row r="950" spans="1:18" s="225" customFormat="1" hidden="1" x14ac:dyDescent="0.2">
      <c r="A950" s="270"/>
      <c r="B950" s="270"/>
      <c r="C950" s="280"/>
      <c r="D950" s="281"/>
      <c r="E950" s="271"/>
      <c r="F950" s="271"/>
      <c r="G950" s="271"/>
      <c r="H950" s="271"/>
      <c r="I950" s="271"/>
      <c r="J950" s="271"/>
      <c r="K950" s="271"/>
      <c r="L950" s="271"/>
      <c r="M950" s="271"/>
      <c r="N950" s="271"/>
      <c r="O950" s="273"/>
      <c r="Q950" s="230"/>
      <c r="R950" s="230"/>
    </row>
    <row r="951" spans="1:18" s="225" customFormat="1" hidden="1" x14ac:dyDescent="0.2">
      <c r="A951" s="270"/>
      <c r="B951" s="270"/>
      <c r="C951" s="280"/>
      <c r="D951" s="281"/>
      <c r="E951" s="271"/>
      <c r="F951" s="271"/>
      <c r="G951" s="271"/>
      <c r="H951" s="271"/>
      <c r="I951" s="271"/>
      <c r="J951" s="271"/>
      <c r="K951" s="271"/>
      <c r="L951" s="271"/>
      <c r="M951" s="271"/>
      <c r="N951" s="271"/>
      <c r="O951" s="273"/>
      <c r="Q951" s="230"/>
      <c r="R951" s="230"/>
    </row>
    <row r="952" spans="1:18" s="225" customFormat="1" hidden="1" x14ac:dyDescent="0.2">
      <c r="A952" s="270"/>
      <c r="B952" s="270"/>
      <c r="C952" s="280"/>
      <c r="D952" s="281"/>
      <c r="E952" s="271"/>
      <c r="F952" s="271"/>
      <c r="G952" s="271"/>
      <c r="H952" s="271"/>
      <c r="I952" s="271"/>
      <c r="J952" s="271"/>
      <c r="K952" s="271"/>
      <c r="L952" s="271"/>
      <c r="M952" s="271"/>
      <c r="N952" s="271"/>
      <c r="O952" s="273"/>
      <c r="Q952" s="230"/>
      <c r="R952" s="230"/>
    </row>
    <row r="953" spans="1:18" s="225" customFormat="1" hidden="1" x14ac:dyDescent="0.2">
      <c r="A953" s="270"/>
      <c r="B953" s="270"/>
      <c r="C953" s="280"/>
      <c r="D953" s="281"/>
      <c r="E953" s="271"/>
      <c r="F953" s="271"/>
      <c r="G953" s="271"/>
      <c r="H953" s="271"/>
      <c r="I953" s="271"/>
      <c r="J953" s="271"/>
      <c r="K953" s="271"/>
      <c r="L953" s="271"/>
      <c r="M953" s="271"/>
      <c r="N953" s="271"/>
      <c r="O953" s="273"/>
      <c r="Q953" s="230"/>
      <c r="R953" s="230"/>
    </row>
    <row r="954" spans="1:18" s="225" customFormat="1" hidden="1" x14ac:dyDescent="0.2">
      <c r="A954" s="270"/>
      <c r="B954" s="270"/>
      <c r="C954" s="280"/>
      <c r="D954" s="281"/>
      <c r="E954" s="271"/>
      <c r="F954" s="271"/>
      <c r="G954" s="271"/>
      <c r="H954" s="271"/>
      <c r="I954" s="271"/>
      <c r="J954" s="271"/>
      <c r="K954" s="271"/>
      <c r="L954" s="271"/>
      <c r="M954" s="271"/>
      <c r="N954" s="271"/>
      <c r="O954" s="273"/>
      <c r="Q954" s="230"/>
      <c r="R954" s="230"/>
    </row>
    <row r="955" spans="1:18" s="225" customFormat="1" hidden="1" x14ac:dyDescent="0.2">
      <c r="A955" s="270"/>
      <c r="B955" s="270"/>
      <c r="C955" s="280"/>
      <c r="D955" s="281"/>
      <c r="E955" s="271"/>
      <c r="F955" s="271"/>
      <c r="G955" s="271"/>
      <c r="H955" s="271"/>
      <c r="I955" s="271"/>
      <c r="J955" s="271"/>
      <c r="K955" s="271"/>
      <c r="L955" s="271"/>
      <c r="M955" s="271"/>
      <c r="N955" s="271"/>
      <c r="O955" s="273"/>
      <c r="Q955" s="230"/>
      <c r="R955" s="230"/>
    </row>
    <row r="956" spans="1:18" s="225" customFormat="1" hidden="1" x14ac:dyDescent="0.2">
      <c r="A956" s="270"/>
      <c r="B956" s="270"/>
      <c r="C956" s="280"/>
      <c r="D956" s="281"/>
      <c r="E956" s="271"/>
      <c r="F956" s="271"/>
      <c r="G956" s="271"/>
      <c r="H956" s="271"/>
      <c r="I956" s="271"/>
      <c r="J956" s="271"/>
      <c r="K956" s="271"/>
      <c r="L956" s="271"/>
      <c r="M956" s="271"/>
      <c r="N956" s="271"/>
      <c r="O956" s="273"/>
      <c r="Q956" s="230"/>
      <c r="R956" s="230"/>
    </row>
    <row r="957" spans="1:18" s="225" customFormat="1" hidden="1" x14ac:dyDescent="0.2">
      <c r="A957" s="270"/>
      <c r="B957" s="270"/>
      <c r="C957" s="280"/>
      <c r="D957" s="281"/>
      <c r="E957" s="271"/>
      <c r="F957" s="271"/>
      <c r="G957" s="271"/>
      <c r="H957" s="271"/>
      <c r="I957" s="271"/>
      <c r="J957" s="271"/>
      <c r="K957" s="271"/>
      <c r="L957" s="271"/>
      <c r="M957" s="271"/>
      <c r="N957" s="271"/>
      <c r="O957" s="273"/>
      <c r="Q957" s="230"/>
      <c r="R957" s="230"/>
    </row>
    <row r="958" spans="1:18" s="225" customFormat="1" hidden="1" x14ac:dyDescent="0.2">
      <c r="A958" s="270"/>
      <c r="B958" s="270"/>
      <c r="C958" s="280"/>
      <c r="D958" s="281"/>
      <c r="E958" s="271"/>
      <c r="F958" s="271"/>
      <c r="G958" s="271"/>
      <c r="H958" s="271"/>
      <c r="I958" s="271"/>
      <c r="J958" s="271"/>
      <c r="K958" s="271"/>
      <c r="L958" s="271"/>
      <c r="M958" s="271"/>
      <c r="N958" s="271"/>
      <c r="O958" s="273"/>
      <c r="Q958" s="230"/>
      <c r="R958" s="230"/>
    </row>
    <row r="959" spans="1:18" s="225" customFormat="1" hidden="1" x14ac:dyDescent="0.2">
      <c r="A959" s="270"/>
      <c r="B959" s="270"/>
      <c r="C959" s="280"/>
      <c r="D959" s="281"/>
      <c r="E959" s="271"/>
      <c r="F959" s="271"/>
      <c r="G959" s="271"/>
      <c r="H959" s="271"/>
      <c r="I959" s="271"/>
      <c r="J959" s="271"/>
      <c r="K959" s="271"/>
      <c r="L959" s="271"/>
      <c r="M959" s="271"/>
      <c r="N959" s="271"/>
      <c r="O959" s="273"/>
      <c r="Q959" s="230"/>
      <c r="R959" s="230"/>
    </row>
    <row r="960" spans="1:18" s="225" customFormat="1" hidden="1" x14ac:dyDescent="0.2">
      <c r="A960" s="270"/>
      <c r="B960" s="270"/>
      <c r="C960" s="280"/>
      <c r="D960" s="281"/>
      <c r="E960" s="271"/>
      <c r="F960" s="271"/>
      <c r="G960" s="271"/>
      <c r="H960" s="271"/>
      <c r="I960" s="271"/>
      <c r="J960" s="271"/>
      <c r="K960" s="271"/>
      <c r="L960" s="271"/>
      <c r="M960" s="271"/>
      <c r="N960" s="271"/>
      <c r="O960" s="273"/>
      <c r="Q960" s="230"/>
      <c r="R960" s="230"/>
    </row>
    <row r="961" spans="1:18" s="225" customFormat="1" hidden="1" x14ac:dyDescent="0.2">
      <c r="A961" s="270"/>
      <c r="B961" s="270"/>
      <c r="C961" s="280"/>
      <c r="D961" s="281"/>
      <c r="E961" s="271"/>
      <c r="F961" s="271"/>
      <c r="G961" s="271"/>
      <c r="H961" s="271"/>
      <c r="I961" s="271"/>
      <c r="J961" s="271"/>
      <c r="K961" s="271"/>
      <c r="L961" s="271"/>
      <c r="M961" s="271"/>
      <c r="N961" s="271"/>
      <c r="O961" s="273"/>
      <c r="Q961" s="230"/>
      <c r="R961" s="230"/>
    </row>
    <row r="962" spans="1:18" s="225" customFormat="1" hidden="1" x14ac:dyDescent="0.2">
      <c r="A962" s="270"/>
      <c r="B962" s="270"/>
      <c r="C962" s="280"/>
      <c r="D962" s="281"/>
      <c r="E962" s="271"/>
      <c r="F962" s="271"/>
      <c r="G962" s="271"/>
      <c r="H962" s="271"/>
      <c r="I962" s="271"/>
      <c r="J962" s="271"/>
      <c r="K962" s="271"/>
      <c r="L962" s="271"/>
      <c r="M962" s="271"/>
      <c r="N962" s="271"/>
      <c r="O962" s="273"/>
      <c r="Q962" s="230"/>
      <c r="R962" s="230"/>
    </row>
    <row r="963" spans="1:18" s="225" customFormat="1" hidden="1" x14ac:dyDescent="0.2">
      <c r="A963" s="270"/>
      <c r="B963" s="270"/>
      <c r="C963" s="280"/>
      <c r="D963" s="281"/>
      <c r="E963" s="271"/>
      <c r="F963" s="271"/>
      <c r="G963" s="271"/>
      <c r="H963" s="271"/>
      <c r="I963" s="271"/>
      <c r="J963" s="271"/>
      <c r="K963" s="271"/>
      <c r="L963" s="271"/>
      <c r="M963" s="271"/>
      <c r="N963" s="271"/>
      <c r="O963" s="273"/>
      <c r="Q963" s="230"/>
      <c r="R963" s="230"/>
    </row>
    <row r="964" spans="1:18" s="225" customFormat="1" hidden="1" x14ac:dyDescent="0.2">
      <c r="A964" s="270"/>
      <c r="B964" s="270"/>
      <c r="C964" s="280"/>
      <c r="D964" s="281"/>
      <c r="E964" s="271"/>
      <c r="F964" s="271"/>
      <c r="G964" s="271"/>
      <c r="H964" s="271"/>
      <c r="I964" s="271"/>
      <c r="J964" s="271"/>
      <c r="K964" s="271"/>
      <c r="L964" s="271"/>
      <c r="M964" s="271"/>
      <c r="N964" s="271"/>
      <c r="O964" s="273"/>
      <c r="Q964" s="230"/>
      <c r="R964" s="230"/>
    </row>
    <row r="965" spans="1:18" s="225" customFormat="1" hidden="1" x14ac:dyDescent="0.2">
      <c r="A965" s="270"/>
      <c r="B965" s="270"/>
      <c r="C965" s="280"/>
      <c r="D965" s="281"/>
      <c r="E965" s="271"/>
      <c r="F965" s="271"/>
      <c r="G965" s="271"/>
      <c r="H965" s="271"/>
      <c r="I965" s="271"/>
      <c r="J965" s="271"/>
      <c r="K965" s="271"/>
      <c r="L965" s="271"/>
      <c r="M965" s="271"/>
      <c r="N965" s="271"/>
      <c r="O965" s="273"/>
      <c r="Q965" s="230"/>
      <c r="R965" s="230"/>
    </row>
    <row r="966" spans="1:18" s="225" customFormat="1" hidden="1" x14ac:dyDescent="0.2">
      <c r="A966" s="270"/>
      <c r="B966" s="270"/>
      <c r="C966" s="280"/>
      <c r="D966" s="281"/>
      <c r="E966" s="271"/>
      <c r="F966" s="271"/>
      <c r="G966" s="271"/>
      <c r="H966" s="271"/>
      <c r="I966" s="271"/>
      <c r="J966" s="271"/>
      <c r="K966" s="271"/>
      <c r="L966" s="271"/>
      <c r="M966" s="271"/>
      <c r="N966" s="271"/>
      <c r="O966" s="273"/>
      <c r="Q966" s="230"/>
      <c r="R966" s="230"/>
    </row>
    <row r="967" spans="1:18" s="225" customFormat="1" hidden="1" x14ac:dyDescent="0.2">
      <c r="A967" s="270"/>
      <c r="B967" s="270"/>
      <c r="C967" s="280"/>
      <c r="D967" s="281"/>
      <c r="E967" s="271"/>
      <c r="F967" s="271"/>
      <c r="G967" s="271"/>
      <c r="H967" s="271"/>
      <c r="I967" s="271"/>
      <c r="J967" s="271"/>
      <c r="K967" s="271"/>
      <c r="L967" s="271"/>
      <c r="M967" s="271"/>
      <c r="N967" s="271"/>
      <c r="O967" s="273"/>
      <c r="Q967" s="230"/>
      <c r="R967" s="230"/>
    </row>
    <row r="968" spans="1:18" s="225" customFormat="1" hidden="1" x14ac:dyDescent="0.2">
      <c r="A968" s="270"/>
      <c r="B968" s="270"/>
      <c r="C968" s="280"/>
      <c r="D968" s="281"/>
      <c r="E968" s="271"/>
      <c r="F968" s="271"/>
      <c r="G968" s="271"/>
      <c r="H968" s="271"/>
      <c r="I968" s="271"/>
      <c r="J968" s="271"/>
      <c r="K968" s="271"/>
      <c r="L968" s="271"/>
      <c r="M968" s="271"/>
      <c r="N968" s="271"/>
      <c r="O968" s="273"/>
      <c r="Q968" s="230"/>
      <c r="R968" s="230"/>
    </row>
    <row r="969" spans="1:18" s="225" customFormat="1" hidden="1" x14ac:dyDescent="0.2">
      <c r="A969" s="270"/>
      <c r="B969" s="270"/>
      <c r="C969" s="280"/>
      <c r="D969" s="281"/>
      <c r="E969" s="271"/>
      <c r="F969" s="271"/>
      <c r="G969" s="271"/>
      <c r="H969" s="271"/>
      <c r="I969" s="271"/>
      <c r="J969" s="271"/>
      <c r="K969" s="271"/>
      <c r="L969" s="271"/>
      <c r="M969" s="271"/>
      <c r="N969" s="271"/>
      <c r="O969" s="273"/>
      <c r="Q969" s="230"/>
      <c r="R969" s="230"/>
    </row>
    <row r="970" spans="1:18" s="225" customFormat="1" hidden="1" x14ac:dyDescent="0.2">
      <c r="A970" s="270"/>
      <c r="B970" s="270"/>
      <c r="C970" s="280"/>
      <c r="D970" s="281"/>
      <c r="E970" s="271"/>
      <c r="F970" s="271"/>
      <c r="G970" s="271"/>
      <c r="H970" s="271"/>
      <c r="I970" s="271"/>
      <c r="J970" s="271"/>
      <c r="K970" s="271"/>
      <c r="L970" s="271"/>
      <c r="M970" s="271"/>
      <c r="N970" s="271"/>
      <c r="O970" s="273"/>
      <c r="Q970" s="230"/>
      <c r="R970" s="230"/>
    </row>
    <row r="971" spans="1:18" s="225" customFormat="1" hidden="1" x14ac:dyDescent="0.2">
      <c r="A971" s="270"/>
      <c r="B971" s="270"/>
      <c r="C971" s="280"/>
      <c r="D971" s="281"/>
      <c r="E971" s="271"/>
      <c r="F971" s="271"/>
      <c r="G971" s="271"/>
      <c r="H971" s="271"/>
      <c r="I971" s="271"/>
      <c r="J971" s="271"/>
      <c r="K971" s="271"/>
      <c r="L971" s="271"/>
      <c r="M971" s="271"/>
      <c r="N971" s="271"/>
      <c r="O971" s="273"/>
      <c r="Q971" s="230"/>
      <c r="R971" s="230"/>
    </row>
    <row r="972" spans="1:18" s="225" customFormat="1" hidden="1" x14ac:dyDescent="0.2">
      <c r="A972" s="270"/>
      <c r="B972" s="270"/>
      <c r="C972" s="280"/>
      <c r="D972" s="281"/>
      <c r="E972" s="271"/>
      <c r="F972" s="271"/>
      <c r="G972" s="271"/>
      <c r="H972" s="271"/>
      <c r="I972" s="271"/>
      <c r="J972" s="271"/>
      <c r="K972" s="271"/>
      <c r="L972" s="271"/>
      <c r="M972" s="271"/>
      <c r="N972" s="271"/>
      <c r="O972" s="273"/>
      <c r="Q972" s="230"/>
      <c r="R972" s="230"/>
    </row>
    <row r="973" spans="1:18" s="225" customFormat="1" hidden="1" x14ac:dyDescent="0.2">
      <c r="A973" s="270"/>
      <c r="B973" s="270"/>
      <c r="C973" s="280"/>
      <c r="D973" s="281"/>
      <c r="E973" s="271"/>
      <c r="F973" s="271"/>
      <c r="G973" s="271"/>
      <c r="H973" s="271"/>
      <c r="I973" s="271"/>
      <c r="J973" s="271"/>
      <c r="K973" s="271"/>
      <c r="L973" s="271"/>
      <c r="M973" s="271"/>
      <c r="N973" s="271"/>
      <c r="O973" s="273"/>
      <c r="Q973" s="230"/>
      <c r="R973" s="230"/>
    </row>
    <row r="974" spans="1:18" s="225" customFormat="1" hidden="1" x14ac:dyDescent="0.2">
      <c r="A974" s="270"/>
      <c r="B974" s="270"/>
      <c r="C974" s="280"/>
      <c r="D974" s="281"/>
      <c r="E974" s="271"/>
      <c r="F974" s="271"/>
      <c r="G974" s="271"/>
      <c r="H974" s="271"/>
      <c r="I974" s="271"/>
      <c r="J974" s="271"/>
      <c r="K974" s="271"/>
      <c r="L974" s="271"/>
      <c r="M974" s="271"/>
      <c r="N974" s="271"/>
      <c r="O974" s="273"/>
      <c r="Q974" s="230"/>
      <c r="R974" s="230"/>
    </row>
    <row r="975" spans="1:18" s="225" customFormat="1" hidden="1" x14ac:dyDescent="0.2">
      <c r="A975" s="270"/>
      <c r="B975" s="270"/>
      <c r="C975" s="280"/>
      <c r="D975" s="281"/>
      <c r="E975" s="271"/>
      <c r="F975" s="271"/>
      <c r="G975" s="271"/>
      <c r="H975" s="271"/>
      <c r="I975" s="271"/>
      <c r="J975" s="271"/>
      <c r="K975" s="271"/>
      <c r="L975" s="271"/>
      <c r="M975" s="271"/>
      <c r="N975" s="271"/>
      <c r="O975" s="273"/>
      <c r="Q975" s="230"/>
      <c r="R975" s="230"/>
    </row>
    <row r="976" spans="1:18" s="225" customFormat="1" hidden="1" x14ac:dyDescent="0.2">
      <c r="A976" s="270"/>
      <c r="B976" s="270"/>
      <c r="C976" s="280"/>
      <c r="D976" s="281"/>
      <c r="E976" s="271"/>
      <c r="F976" s="271"/>
      <c r="G976" s="271"/>
      <c r="H976" s="271"/>
      <c r="I976" s="271"/>
      <c r="J976" s="271"/>
      <c r="K976" s="271"/>
      <c r="L976" s="271"/>
      <c r="M976" s="271"/>
      <c r="N976" s="271"/>
      <c r="O976" s="273"/>
      <c r="Q976" s="230"/>
      <c r="R976" s="230"/>
    </row>
    <row r="977" spans="1:18" s="225" customFormat="1" hidden="1" x14ac:dyDescent="0.2">
      <c r="A977" s="270"/>
      <c r="B977" s="270"/>
      <c r="C977" s="280"/>
      <c r="D977" s="281"/>
      <c r="E977" s="271"/>
      <c r="F977" s="271"/>
      <c r="G977" s="271"/>
      <c r="H977" s="271"/>
      <c r="I977" s="271"/>
      <c r="J977" s="271"/>
      <c r="K977" s="271"/>
      <c r="L977" s="271"/>
      <c r="M977" s="271"/>
      <c r="N977" s="271"/>
      <c r="O977" s="273"/>
      <c r="Q977" s="230"/>
      <c r="R977" s="230"/>
    </row>
    <row r="978" spans="1:18" s="225" customFormat="1" hidden="1" x14ac:dyDescent="0.2">
      <c r="A978" s="270"/>
      <c r="B978" s="270"/>
      <c r="C978" s="280"/>
      <c r="D978" s="281"/>
      <c r="E978" s="271"/>
      <c r="F978" s="271"/>
      <c r="G978" s="271"/>
      <c r="H978" s="271"/>
      <c r="I978" s="271"/>
      <c r="J978" s="271"/>
      <c r="K978" s="271"/>
      <c r="L978" s="271"/>
      <c r="M978" s="271"/>
      <c r="N978" s="271"/>
      <c r="O978" s="273"/>
      <c r="Q978" s="230"/>
      <c r="R978" s="230"/>
    </row>
    <row r="979" spans="1:18" s="225" customFormat="1" hidden="1" x14ac:dyDescent="0.2">
      <c r="A979" s="270"/>
      <c r="B979" s="270"/>
      <c r="C979" s="280"/>
      <c r="D979" s="281"/>
      <c r="E979" s="271"/>
      <c r="F979" s="271"/>
      <c r="G979" s="271"/>
      <c r="H979" s="271"/>
      <c r="I979" s="271"/>
      <c r="J979" s="271"/>
      <c r="K979" s="271"/>
      <c r="L979" s="271"/>
      <c r="M979" s="271"/>
      <c r="N979" s="271"/>
      <c r="O979" s="273"/>
      <c r="Q979" s="230"/>
      <c r="R979" s="230"/>
    </row>
    <row r="980" spans="1:18" s="225" customFormat="1" hidden="1" x14ac:dyDescent="0.2">
      <c r="A980" s="270"/>
      <c r="B980" s="270"/>
      <c r="C980" s="280"/>
      <c r="D980" s="281"/>
      <c r="E980" s="271"/>
      <c r="F980" s="271"/>
      <c r="G980" s="271"/>
      <c r="H980" s="271"/>
      <c r="I980" s="271"/>
      <c r="J980" s="271"/>
      <c r="K980" s="271"/>
      <c r="L980" s="271"/>
      <c r="M980" s="271"/>
      <c r="N980" s="271"/>
      <c r="O980" s="273"/>
      <c r="Q980" s="230"/>
      <c r="R980" s="230"/>
    </row>
    <row r="981" spans="1:18" s="225" customFormat="1" hidden="1" x14ac:dyDescent="0.2">
      <c r="A981" s="270"/>
      <c r="B981" s="270"/>
      <c r="C981" s="280"/>
      <c r="D981" s="281"/>
      <c r="E981" s="271"/>
      <c r="F981" s="271"/>
      <c r="G981" s="271"/>
      <c r="H981" s="271"/>
      <c r="I981" s="271"/>
      <c r="J981" s="271"/>
      <c r="K981" s="271"/>
      <c r="L981" s="271"/>
      <c r="M981" s="271"/>
      <c r="N981" s="271"/>
      <c r="O981" s="273"/>
      <c r="Q981" s="230"/>
      <c r="R981" s="230"/>
    </row>
    <row r="982" spans="1:18" s="225" customFormat="1" hidden="1" x14ac:dyDescent="0.2">
      <c r="A982" s="270"/>
      <c r="B982" s="270"/>
      <c r="C982" s="280"/>
      <c r="D982" s="281"/>
      <c r="E982" s="271"/>
      <c r="F982" s="271"/>
      <c r="G982" s="271"/>
      <c r="H982" s="271"/>
      <c r="I982" s="271"/>
      <c r="J982" s="271"/>
      <c r="K982" s="271"/>
      <c r="L982" s="271"/>
      <c r="M982" s="271"/>
      <c r="N982" s="271"/>
      <c r="O982" s="273"/>
      <c r="Q982" s="230"/>
      <c r="R982" s="230"/>
    </row>
    <row r="983" spans="1:18" s="225" customFormat="1" hidden="1" x14ac:dyDescent="0.2">
      <c r="A983" s="270"/>
      <c r="B983" s="270"/>
      <c r="C983" s="280"/>
      <c r="D983" s="281"/>
      <c r="E983" s="271"/>
      <c r="F983" s="271"/>
      <c r="G983" s="271"/>
      <c r="H983" s="271"/>
      <c r="I983" s="271"/>
      <c r="J983" s="271"/>
      <c r="K983" s="271"/>
      <c r="L983" s="271"/>
      <c r="M983" s="271"/>
      <c r="N983" s="271"/>
      <c r="O983" s="273"/>
      <c r="Q983" s="230"/>
      <c r="R983" s="230"/>
    </row>
    <row r="984" spans="1:18" s="225" customFormat="1" hidden="1" x14ac:dyDescent="0.2">
      <c r="A984" s="270"/>
      <c r="B984" s="270"/>
      <c r="C984" s="280"/>
      <c r="D984" s="281"/>
      <c r="E984" s="271"/>
      <c r="F984" s="271"/>
      <c r="G984" s="271"/>
      <c r="H984" s="271"/>
      <c r="I984" s="271"/>
      <c r="J984" s="271"/>
      <c r="K984" s="271"/>
      <c r="L984" s="271"/>
      <c r="M984" s="271"/>
      <c r="N984" s="271"/>
      <c r="O984" s="273"/>
      <c r="Q984" s="230"/>
      <c r="R984" s="230"/>
    </row>
    <row r="985" spans="1:18" s="225" customFormat="1" hidden="1" x14ac:dyDescent="0.2">
      <c r="A985" s="270"/>
      <c r="B985" s="270"/>
      <c r="C985" s="280"/>
      <c r="D985" s="281"/>
      <c r="E985" s="271"/>
      <c r="F985" s="271"/>
      <c r="G985" s="271"/>
      <c r="H985" s="271"/>
      <c r="I985" s="271"/>
      <c r="J985" s="271"/>
      <c r="K985" s="271"/>
      <c r="L985" s="271"/>
      <c r="M985" s="271"/>
      <c r="N985" s="271"/>
      <c r="O985" s="273"/>
      <c r="Q985" s="230"/>
      <c r="R985" s="230"/>
    </row>
    <row r="986" spans="1:18" s="225" customFormat="1" hidden="1" x14ac:dyDescent="0.2">
      <c r="A986" s="270"/>
      <c r="B986" s="270"/>
      <c r="C986" s="280"/>
      <c r="D986" s="281"/>
      <c r="E986" s="271"/>
      <c r="F986" s="271"/>
      <c r="G986" s="271"/>
      <c r="H986" s="271"/>
      <c r="I986" s="271"/>
      <c r="J986" s="271"/>
      <c r="K986" s="271"/>
      <c r="L986" s="271"/>
      <c r="M986" s="271"/>
      <c r="N986" s="271"/>
      <c r="O986" s="273"/>
      <c r="Q986" s="230"/>
      <c r="R986" s="230"/>
    </row>
    <row r="987" spans="1:18" s="225" customFormat="1" hidden="1" x14ac:dyDescent="0.2">
      <c r="A987" s="270"/>
      <c r="B987" s="270"/>
      <c r="C987" s="280"/>
      <c r="D987" s="281"/>
      <c r="E987" s="271"/>
      <c r="F987" s="271"/>
      <c r="G987" s="271"/>
      <c r="H987" s="271"/>
      <c r="I987" s="271"/>
      <c r="J987" s="271"/>
      <c r="K987" s="271"/>
      <c r="L987" s="271"/>
      <c r="M987" s="271"/>
      <c r="N987" s="271"/>
      <c r="O987" s="273"/>
      <c r="Q987" s="230"/>
      <c r="R987" s="230"/>
    </row>
    <row r="988" spans="1:18" s="225" customFormat="1" hidden="1" x14ac:dyDescent="0.2">
      <c r="A988" s="270"/>
      <c r="B988" s="270"/>
      <c r="C988" s="280"/>
      <c r="D988" s="281"/>
      <c r="E988" s="271"/>
      <c r="F988" s="271"/>
      <c r="G988" s="271"/>
      <c r="H988" s="271"/>
      <c r="I988" s="271"/>
      <c r="J988" s="271"/>
      <c r="K988" s="271"/>
      <c r="L988" s="271"/>
      <c r="M988" s="271"/>
      <c r="N988" s="271"/>
      <c r="O988" s="273"/>
      <c r="Q988" s="230"/>
      <c r="R988" s="230"/>
    </row>
    <row r="989" spans="1:18" s="225" customFormat="1" hidden="1" x14ac:dyDescent="0.2">
      <c r="A989" s="270"/>
      <c r="B989" s="270"/>
      <c r="C989" s="280"/>
      <c r="D989" s="281"/>
      <c r="E989" s="271"/>
      <c r="F989" s="271"/>
      <c r="G989" s="271"/>
      <c r="H989" s="271"/>
      <c r="I989" s="271"/>
      <c r="J989" s="271"/>
      <c r="K989" s="271"/>
      <c r="L989" s="271"/>
      <c r="M989" s="271"/>
      <c r="N989" s="271"/>
      <c r="O989" s="273"/>
      <c r="Q989" s="230"/>
      <c r="R989" s="230"/>
    </row>
    <row r="990" spans="1:18" s="225" customFormat="1" hidden="1" x14ac:dyDescent="0.2">
      <c r="A990" s="270"/>
      <c r="B990" s="270"/>
      <c r="C990" s="280"/>
      <c r="D990" s="281"/>
      <c r="E990" s="271"/>
      <c r="F990" s="271"/>
      <c r="G990" s="271"/>
      <c r="H990" s="271"/>
      <c r="I990" s="271"/>
      <c r="J990" s="271"/>
      <c r="K990" s="271"/>
      <c r="L990" s="271"/>
      <c r="M990" s="271"/>
      <c r="N990" s="271"/>
      <c r="O990" s="273"/>
      <c r="Q990" s="230"/>
      <c r="R990" s="230"/>
    </row>
    <row r="991" spans="1:18" s="225" customFormat="1" hidden="1" x14ac:dyDescent="0.2">
      <c r="A991" s="270"/>
      <c r="B991" s="270"/>
      <c r="C991" s="280"/>
      <c r="D991" s="281"/>
      <c r="E991" s="271"/>
      <c r="F991" s="271"/>
      <c r="G991" s="271"/>
      <c r="H991" s="271"/>
      <c r="I991" s="271"/>
      <c r="J991" s="271"/>
      <c r="K991" s="271"/>
      <c r="L991" s="271"/>
      <c r="M991" s="271"/>
      <c r="N991" s="271"/>
      <c r="O991" s="273"/>
      <c r="Q991" s="230"/>
      <c r="R991" s="230"/>
    </row>
    <row r="992" spans="1:18" s="225" customFormat="1" hidden="1" x14ac:dyDescent="0.2">
      <c r="A992" s="270"/>
      <c r="B992" s="270"/>
      <c r="C992" s="280"/>
      <c r="D992" s="281"/>
      <c r="E992" s="271"/>
      <c r="F992" s="271"/>
      <c r="G992" s="271"/>
      <c r="H992" s="271"/>
      <c r="I992" s="271"/>
      <c r="J992" s="271"/>
      <c r="K992" s="271"/>
      <c r="L992" s="271"/>
      <c r="M992" s="271"/>
      <c r="N992" s="271"/>
      <c r="O992" s="273"/>
      <c r="Q992" s="230"/>
      <c r="R992" s="230"/>
    </row>
    <row r="993" spans="1:18" s="225" customFormat="1" hidden="1" x14ac:dyDescent="0.2">
      <c r="A993" s="270"/>
      <c r="B993" s="270"/>
      <c r="C993" s="280"/>
      <c r="D993" s="281"/>
      <c r="E993" s="271"/>
      <c r="F993" s="271"/>
      <c r="G993" s="271"/>
      <c r="H993" s="271"/>
      <c r="I993" s="271"/>
      <c r="J993" s="271"/>
      <c r="K993" s="271"/>
      <c r="L993" s="271"/>
      <c r="M993" s="271"/>
      <c r="N993" s="271"/>
      <c r="O993" s="273"/>
      <c r="Q993" s="230"/>
      <c r="R993" s="230"/>
    </row>
    <row r="994" spans="1:18" s="225" customFormat="1" hidden="1" x14ac:dyDescent="0.2">
      <c r="A994" s="270"/>
      <c r="B994" s="270"/>
      <c r="C994" s="280"/>
      <c r="D994" s="281"/>
      <c r="E994" s="271"/>
      <c r="F994" s="271"/>
      <c r="G994" s="271"/>
      <c r="H994" s="271"/>
      <c r="I994" s="271"/>
      <c r="J994" s="271"/>
      <c r="K994" s="271"/>
      <c r="L994" s="271"/>
      <c r="M994" s="271"/>
      <c r="N994" s="271"/>
      <c r="O994" s="273"/>
      <c r="Q994" s="230"/>
      <c r="R994" s="230"/>
    </row>
    <row r="995" spans="1:18" s="225" customFormat="1" hidden="1" x14ac:dyDescent="0.2">
      <c r="A995" s="270"/>
      <c r="B995" s="270"/>
      <c r="C995" s="280"/>
      <c r="D995" s="281"/>
      <c r="E995" s="271"/>
      <c r="F995" s="271"/>
      <c r="G995" s="271"/>
      <c r="H995" s="271"/>
      <c r="I995" s="271"/>
      <c r="J995" s="271"/>
      <c r="K995" s="271"/>
      <c r="L995" s="271"/>
      <c r="M995" s="271"/>
      <c r="N995" s="271"/>
      <c r="O995" s="273"/>
      <c r="Q995" s="230"/>
      <c r="R995" s="230"/>
    </row>
    <row r="996" spans="1:18" s="225" customFormat="1" hidden="1" x14ac:dyDescent="0.2">
      <c r="A996" s="270"/>
      <c r="B996" s="270"/>
      <c r="C996" s="280"/>
      <c r="D996" s="281"/>
      <c r="E996" s="271"/>
      <c r="F996" s="271"/>
      <c r="G996" s="271"/>
      <c r="H996" s="271"/>
      <c r="I996" s="271"/>
      <c r="J996" s="271"/>
      <c r="K996" s="271"/>
      <c r="L996" s="271"/>
      <c r="M996" s="271"/>
      <c r="N996" s="271"/>
      <c r="O996" s="273"/>
      <c r="Q996" s="230"/>
      <c r="R996" s="230"/>
    </row>
    <row r="997" spans="1:18" s="225" customFormat="1" hidden="1" x14ac:dyDescent="0.2">
      <c r="A997" s="270"/>
      <c r="B997" s="270"/>
      <c r="C997" s="280"/>
      <c r="D997" s="281"/>
      <c r="E997" s="271"/>
      <c r="F997" s="271"/>
      <c r="G997" s="271"/>
      <c r="H997" s="271"/>
      <c r="I997" s="271"/>
      <c r="J997" s="271"/>
      <c r="K997" s="271"/>
      <c r="L997" s="271"/>
      <c r="M997" s="271"/>
      <c r="N997" s="271"/>
      <c r="O997" s="273"/>
      <c r="Q997" s="230"/>
      <c r="R997" s="230"/>
    </row>
    <row r="998" spans="1:18" s="225" customFormat="1" hidden="1" x14ac:dyDescent="0.2">
      <c r="A998" s="270"/>
      <c r="B998" s="270"/>
      <c r="C998" s="280"/>
      <c r="D998" s="281"/>
      <c r="E998" s="271"/>
      <c r="F998" s="271"/>
      <c r="G998" s="271"/>
      <c r="H998" s="271"/>
      <c r="I998" s="271"/>
      <c r="J998" s="271"/>
      <c r="K998" s="271"/>
      <c r="L998" s="271"/>
      <c r="M998" s="271"/>
      <c r="N998" s="271"/>
      <c r="O998" s="273"/>
      <c r="Q998" s="230"/>
      <c r="R998" s="230"/>
    </row>
    <row r="999" spans="1:18" s="225" customFormat="1" hidden="1" x14ac:dyDescent="0.2">
      <c r="A999" s="270"/>
      <c r="B999" s="270"/>
      <c r="C999" s="280"/>
      <c r="D999" s="281"/>
      <c r="E999" s="271"/>
      <c r="F999" s="271"/>
      <c r="G999" s="271"/>
      <c r="H999" s="271"/>
      <c r="I999" s="271"/>
      <c r="J999" s="271"/>
      <c r="K999" s="271"/>
      <c r="L999" s="271"/>
      <c r="M999" s="271"/>
      <c r="N999" s="271"/>
      <c r="O999" s="273"/>
      <c r="Q999" s="230"/>
      <c r="R999" s="230"/>
    </row>
    <row r="1000" spans="1:18" s="225" customFormat="1" hidden="1" x14ac:dyDescent="0.2">
      <c r="A1000" s="270"/>
      <c r="B1000" s="270"/>
      <c r="C1000" s="280"/>
      <c r="D1000" s="281"/>
      <c r="E1000" s="271"/>
      <c r="F1000" s="271"/>
      <c r="G1000" s="271"/>
      <c r="H1000" s="271"/>
      <c r="I1000" s="271"/>
      <c r="J1000" s="271"/>
      <c r="K1000" s="271"/>
      <c r="L1000" s="271"/>
      <c r="M1000" s="271"/>
      <c r="N1000" s="271"/>
      <c r="O1000" s="273"/>
      <c r="Q1000" s="230"/>
      <c r="R1000" s="230"/>
    </row>
    <row r="1001" spans="1:18" s="225" customFormat="1" hidden="1" x14ac:dyDescent="0.2">
      <c r="A1001" s="270"/>
      <c r="B1001" s="270"/>
      <c r="C1001" s="280"/>
      <c r="D1001" s="281"/>
      <c r="E1001" s="271"/>
      <c r="F1001" s="271"/>
      <c r="G1001" s="271"/>
      <c r="H1001" s="271"/>
      <c r="I1001" s="271"/>
      <c r="J1001" s="271"/>
      <c r="K1001" s="271"/>
      <c r="L1001" s="271"/>
      <c r="M1001" s="271"/>
      <c r="N1001" s="271"/>
      <c r="O1001" s="273"/>
      <c r="Q1001" s="230"/>
      <c r="R1001" s="230"/>
    </row>
    <row r="1002" spans="1:18" s="225" customFormat="1" hidden="1" x14ac:dyDescent="0.2">
      <c r="A1002" s="270"/>
      <c r="B1002" s="270"/>
      <c r="C1002" s="280"/>
      <c r="D1002" s="281"/>
      <c r="E1002" s="271"/>
      <c r="F1002" s="271"/>
      <c r="G1002" s="271"/>
      <c r="H1002" s="271"/>
      <c r="I1002" s="271"/>
      <c r="J1002" s="271"/>
      <c r="K1002" s="271"/>
      <c r="L1002" s="271"/>
      <c r="M1002" s="271"/>
      <c r="N1002" s="271"/>
      <c r="O1002" s="273"/>
      <c r="Q1002" s="230"/>
      <c r="R1002" s="230"/>
    </row>
    <row r="1003" spans="1:18" s="225" customFormat="1" hidden="1" x14ac:dyDescent="0.2">
      <c r="A1003" s="270"/>
      <c r="B1003" s="270"/>
      <c r="C1003" s="280"/>
      <c r="D1003" s="281"/>
      <c r="E1003" s="271"/>
      <c r="F1003" s="271"/>
      <c r="G1003" s="271"/>
      <c r="H1003" s="271"/>
      <c r="I1003" s="271"/>
      <c r="J1003" s="271"/>
      <c r="K1003" s="271"/>
      <c r="L1003" s="271"/>
      <c r="M1003" s="271"/>
      <c r="N1003" s="271"/>
      <c r="O1003" s="273"/>
      <c r="Q1003" s="230"/>
      <c r="R1003" s="230"/>
    </row>
    <row r="1004" spans="1:18" s="225" customFormat="1" hidden="1" x14ac:dyDescent="0.2">
      <c r="A1004" s="270"/>
      <c r="B1004" s="270"/>
      <c r="C1004" s="280"/>
      <c r="D1004" s="281"/>
      <c r="E1004" s="271"/>
      <c r="F1004" s="271"/>
      <c r="G1004" s="271"/>
      <c r="H1004" s="271"/>
      <c r="I1004" s="271"/>
      <c r="J1004" s="271"/>
      <c r="K1004" s="271"/>
      <c r="L1004" s="271"/>
      <c r="M1004" s="271"/>
      <c r="N1004" s="271"/>
      <c r="O1004" s="273"/>
      <c r="Q1004" s="230"/>
      <c r="R1004" s="230"/>
    </row>
    <row r="1005" spans="1:18" s="225" customFormat="1" hidden="1" x14ac:dyDescent="0.2">
      <c r="A1005" s="270"/>
      <c r="B1005" s="270"/>
      <c r="C1005" s="280"/>
      <c r="D1005" s="281"/>
      <c r="E1005" s="271"/>
      <c r="F1005" s="271"/>
      <c r="G1005" s="271"/>
      <c r="H1005" s="271"/>
      <c r="I1005" s="271"/>
      <c r="J1005" s="271"/>
      <c r="K1005" s="271"/>
      <c r="L1005" s="271"/>
      <c r="M1005" s="271"/>
      <c r="N1005" s="271"/>
      <c r="O1005" s="273"/>
      <c r="Q1005" s="230"/>
      <c r="R1005" s="230"/>
    </row>
    <row r="1006" spans="1:18" s="225" customFormat="1" hidden="1" x14ac:dyDescent="0.2">
      <c r="A1006" s="270"/>
      <c r="B1006" s="270"/>
      <c r="C1006" s="280"/>
      <c r="D1006" s="281"/>
      <c r="E1006" s="271"/>
      <c r="F1006" s="271"/>
      <c r="G1006" s="271"/>
      <c r="H1006" s="271"/>
      <c r="I1006" s="271"/>
      <c r="J1006" s="271"/>
      <c r="K1006" s="271"/>
      <c r="L1006" s="271"/>
      <c r="M1006" s="271"/>
      <c r="N1006" s="271"/>
      <c r="O1006" s="273"/>
      <c r="Q1006" s="230"/>
      <c r="R1006" s="230"/>
    </row>
    <row r="1007" spans="1:18" s="225" customFormat="1" hidden="1" x14ac:dyDescent="0.2">
      <c r="A1007" s="270"/>
      <c r="B1007" s="270"/>
      <c r="C1007" s="280"/>
      <c r="D1007" s="281"/>
      <c r="E1007" s="271"/>
      <c r="F1007" s="271"/>
      <c r="G1007" s="271"/>
      <c r="H1007" s="271"/>
      <c r="I1007" s="271"/>
      <c r="J1007" s="271"/>
      <c r="K1007" s="271"/>
      <c r="L1007" s="271"/>
      <c r="M1007" s="271"/>
      <c r="N1007" s="271"/>
      <c r="O1007" s="273"/>
      <c r="Q1007" s="230"/>
      <c r="R1007" s="230"/>
    </row>
    <row r="1008" spans="1:18" s="225" customFormat="1" hidden="1" x14ac:dyDescent="0.2">
      <c r="A1008" s="270"/>
      <c r="B1008" s="270"/>
      <c r="C1008" s="280"/>
      <c r="D1008" s="281"/>
      <c r="E1008" s="271"/>
      <c r="F1008" s="271"/>
      <c r="G1008" s="271"/>
      <c r="H1008" s="271"/>
      <c r="I1008" s="271"/>
      <c r="J1008" s="271"/>
      <c r="K1008" s="271"/>
      <c r="L1008" s="271"/>
      <c r="M1008" s="271"/>
      <c r="N1008" s="271"/>
      <c r="O1008" s="273"/>
      <c r="Q1008" s="230"/>
      <c r="R1008" s="230"/>
    </row>
    <row r="1009" spans="1:18" s="225" customFormat="1" hidden="1" x14ac:dyDescent="0.2">
      <c r="A1009" s="270"/>
      <c r="B1009" s="270"/>
      <c r="C1009" s="280"/>
      <c r="D1009" s="281"/>
      <c r="E1009" s="271"/>
      <c r="F1009" s="271"/>
      <c r="G1009" s="271"/>
      <c r="H1009" s="271"/>
      <c r="I1009" s="271"/>
      <c r="J1009" s="271"/>
      <c r="K1009" s="271"/>
      <c r="L1009" s="271"/>
      <c r="M1009" s="271"/>
      <c r="N1009" s="271"/>
      <c r="O1009" s="273"/>
      <c r="Q1009" s="230"/>
      <c r="R1009" s="230"/>
    </row>
    <row r="1010" spans="1:18" s="225" customFormat="1" hidden="1" x14ac:dyDescent="0.2">
      <c r="A1010" s="270"/>
      <c r="B1010" s="270"/>
      <c r="C1010" s="280"/>
      <c r="D1010" s="281"/>
      <c r="E1010" s="271"/>
      <c r="F1010" s="271"/>
      <c r="G1010" s="271"/>
      <c r="H1010" s="271"/>
      <c r="I1010" s="271"/>
      <c r="J1010" s="271"/>
      <c r="K1010" s="271"/>
      <c r="L1010" s="271"/>
      <c r="M1010" s="271"/>
      <c r="N1010" s="271"/>
      <c r="O1010" s="273"/>
      <c r="Q1010" s="230"/>
      <c r="R1010" s="230"/>
    </row>
    <row r="1011" spans="1:18" s="225" customFormat="1" hidden="1" x14ac:dyDescent="0.2">
      <c r="A1011" s="270"/>
      <c r="B1011" s="270"/>
      <c r="C1011" s="280"/>
      <c r="D1011" s="281"/>
      <c r="E1011" s="271"/>
      <c r="F1011" s="271"/>
      <c r="G1011" s="271"/>
      <c r="H1011" s="271"/>
      <c r="I1011" s="271"/>
      <c r="J1011" s="271"/>
      <c r="K1011" s="271"/>
      <c r="L1011" s="271"/>
      <c r="M1011" s="271"/>
      <c r="N1011" s="271"/>
      <c r="O1011" s="273"/>
      <c r="Q1011" s="230"/>
      <c r="R1011" s="230"/>
    </row>
    <row r="1012" spans="1:18" s="225" customFormat="1" hidden="1" x14ac:dyDescent="0.2">
      <c r="A1012" s="270"/>
      <c r="B1012" s="270"/>
      <c r="C1012" s="280"/>
      <c r="D1012" s="281"/>
      <c r="E1012" s="271"/>
      <c r="F1012" s="271"/>
      <c r="G1012" s="271"/>
      <c r="H1012" s="271"/>
      <c r="I1012" s="271"/>
      <c r="J1012" s="271"/>
      <c r="K1012" s="271"/>
      <c r="L1012" s="271"/>
      <c r="M1012" s="271"/>
      <c r="N1012" s="271"/>
      <c r="O1012" s="273"/>
      <c r="Q1012" s="230"/>
      <c r="R1012" s="230"/>
    </row>
    <row r="1013" spans="1:18" s="225" customFormat="1" hidden="1" x14ac:dyDescent="0.2">
      <c r="A1013" s="270"/>
      <c r="B1013" s="270"/>
      <c r="C1013" s="280"/>
      <c r="D1013" s="281"/>
      <c r="E1013" s="271"/>
      <c r="F1013" s="271"/>
      <c r="G1013" s="271"/>
      <c r="H1013" s="271"/>
      <c r="I1013" s="271"/>
      <c r="J1013" s="271"/>
      <c r="K1013" s="271"/>
      <c r="L1013" s="271"/>
      <c r="M1013" s="271"/>
      <c r="N1013" s="271"/>
      <c r="O1013" s="273"/>
      <c r="Q1013" s="230"/>
      <c r="R1013" s="230"/>
    </row>
    <row r="1014" spans="1:18" s="225" customFormat="1" hidden="1" x14ac:dyDescent="0.2">
      <c r="A1014" s="270"/>
      <c r="B1014" s="270"/>
      <c r="C1014" s="280"/>
      <c r="D1014" s="281"/>
      <c r="E1014" s="271"/>
      <c r="F1014" s="271"/>
      <c r="G1014" s="271"/>
      <c r="H1014" s="271"/>
      <c r="I1014" s="271"/>
      <c r="J1014" s="271"/>
      <c r="K1014" s="271"/>
      <c r="L1014" s="271"/>
      <c r="M1014" s="271"/>
      <c r="N1014" s="271"/>
      <c r="O1014" s="273"/>
      <c r="Q1014" s="230"/>
      <c r="R1014" s="230"/>
    </row>
    <row r="1015" spans="1:18" s="225" customFormat="1" hidden="1" x14ac:dyDescent="0.2">
      <c r="A1015" s="270"/>
      <c r="B1015" s="270"/>
      <c r="C1015" s="280"/>
      <c r="D1015" s="281"/>
      <c r="E1015" s="271"/>
      <c r="F1015" s="271"/>
      <c r="G1015" s="271"/>
      <c r="H1015" s="271"/>
      <c r="I1015" s="271"/>
      <c r="J1015" s="271"/>
      <c r="K1015" s="271"/>
      <c r="L1015" s="271"/>
      <c r="M1015" s="271"/>
      <c r="N1015" s="271"/>
      <c r="O1015" s="273"/>
      <c r="Q1015" s="230"/>
      <c r="R1015" s="230"/>
    </row>
    <row r="1016" spans="1:18" s="225" customFormat="1" hidden="1" x14ac:dyDescent="0.2">
      <c r="A1016" s="270"/>
      <c r="B1016" s="270"/>
      <c r="C1016" s="280"/>
      <c r="D1016" s="281"/>
      <c r="E1016" s="271"/>
      <c r="F1016" s="271"/>
      <c r="G1016" s="271"/>
      <c r="H1016" s="271"/>
      <c r="I1016" s="271"/>
      <c r="J1016" s="271"/>
      <c r="K1016" s="271"/>
      <c r="L1016" s="271"/>
      <c r="M1016" s="271"/>
      <c r="N1016" s="271"/>
      <c r="O1016" s="273"/>
      <c r="Q1016" s="230"/>
      <c r="R1016" s="230"/>
    </row>
    <row r="1017" spans="1:18" s="225" customFormat="1" hidden="1" x14ac:dyDescent="0.2">
      <c r="A1017" s="270"/>
      <c r="B1017" s="270"/>
      <c r="C1017" s="280"/>
      <c r="D1017" s="281"/>
      <c r="E1017" s="271"/>
      <c r="F1017" s="271"/>
      <c r="G1017" s="271"/>
      <c r="H1017" s="271"/>
      <c r="I1017" s="271"/>
      <c r="J1017" s="271"/>
      <c r="K1017" s="271"/>
      <c r="L1017" s="271"/>
      <c r="M1017" s="271"/>
      <c r="N1017" s="271"/>
      <c r="O1017" s="273"/>
      <c r="Q1017" s="230"/>
      <c r="R1017" s="230"/>
    </row>
    <row r="1018" spans="1:18" s="225" customFormat="1" hidden="1" x14ac:dyDescent="0.2">
      <c r="A1018" s="270"/>
      <c r="B1018" s="270"/>
      <c r="C1018" s="280"/>
      <c r="D1018" s="281"/>
      <c r="E1018" s="271"/>
      <c r="F1018" s="271"/>
      <c r="G1018" s="271"/>
      <c r="H1018" s="271"/>
      <c r="I1018" s="271"/>
      <c r="J1018" s="271"/>
      <c r="K1018" s="271"/>
      <c r="L1018" s="271"/>
      <c r="M1018" s="271"/>
      <c r="N1018" s="271"/>
      <c r="O1018" s="273"/>
      <c r="Q1018" s="230"/>
      <c r="R1018" s="230"/>
    </row>
    <row r="1019" spans="1:18" s="225" customFormat="1" hidden="1" x14ac:dyDescent="0.2">
      <c r="A1019" s="270"/>
      <c r="B1019" s="270"/>
      <c r="C1019" s="280"/>
      <c r="D1019" s="281"/>
      <c r="E1019" s="271"/>
      <c r="F1019" s="271"/>
      <c r="G1019" s="271"/>
      <c r="H1019" s="271"/>
      <c r="I1019" s="271"/>
      <c r="J1019" s="271"/>
      <c r="K1019" s="271"/>
      <c r="L1019" s="271"/>
      <c r="M1019" s="271"/>
      <c r="N1019" s="271"/>
      <c r="O1019" s="273"/>
      <c r="Q1019" s="230"/>
      <c r="R1019" s="230"/>
    </row>
    <row r="1020" spans="1:18" s="225" customFormat="1" hidden="1" x14ac:dyDescent="0.2">
      <c r="A1020" s="270"/>
      <c r="B1020" s="270"/>
      <c r="C1020" s="280"/>
      <c r="D1020" s="281"/>
      <c r="E1020" s="271"/>
      <c r="F1020" s="271"/>
      <c r="G1020" s="271"/>
      <c r="H1020" s="271"/>
      <c r="I1020" s="271"/>
      <c r="J1020" s="271"/>
      <c r="K1020" s="271"/>
      <c r="L1020" s="271"/>
      <c r="M1020" s="271"/>
      <c r="N1020" s="271"/>
      <c r="O1020" s="273"/>
      <c r="Q1020" s="230"/>
      <c r="R1020" s="230"/>
    </row>
    <row r="1021" spans="1:18" s="225" customFormat="1" hidden="1" x14ac:dyDescent="0.2">
      <c r="A1021" s="270"/>
      <c r="B1021" s="270"/>
      <c r="C1021" s="280"/>
      <c r="D1021" s="281"/>
      <c r="E1021" s="271"/>
      <c r="F1021" s="271"/>
      <c r="G1021" s="271"/>
      <c r="H1021" s="271"/>
      <c r="I1021" s="271"/>
      <c r="J1021" s="271"/>
      <c r="K1021" s="271"/>
      <c r="L1021" s="271"/>
      <c r="M1021" s="271"/>
      <c r="N1021" s="271"/>
      <c r="O1021" s="273"/>
      <c r="Q1021" s="230"/>
      <c r="R1021" s="230"/>
    </row>
    <row r="1022" spans="1:18" s="225" customFormat="1" hidden="1" x14ac:dyDescent="0.2">
      <c r="A1022" s="270"/>
      <c r="B1022" s="270"/>
      <c r="C1022" s="280"/>
      <c r="D1022" s="281"/>
      <c r="E1022" s="271"/>
      <c r="F1022" s="271"/>
      <c r="G1022" s="271"/>
      <c r="H1022" s="271"/>
      <c r="I1022" s="271"/>
      <c r="J1022" s="271"/>
      <c r="K1022" s="271"/>
      <c r="L1022" s="271"/>
      <c r="M1022" s="271"/>
      <c r="N1022" s="271"/>
      <c r="O1022" s="273"/>
      <c r="Q1022" s="230"/>
      <c r="R1022" s="230"/>
    </row>
    <row r="1023" spans="1:18" s="225" customFormat="1" hidden="1" x14ac:dyDescent="0.2">
      <c r="A1023" s="270"/>
      <c r="B1023" s="270"/>
      <c r="C1023" s="280"/>
      <c r="D1023" s="281"/>
      <c r="E1023" s="271"/>
      <c r="F1023" s="271"/>
      <c r="G1023" s="271"/>
      <c r="H1023" s="271"/>
      <c r="I1023" s="271"/>
      <c r="J1023" s="271"/>
      <c r="K1023" s="271"/>
      <c r="L1023" s="271"/>
      <c r="M1023" s="271"/>
      <c r="N1023" s="271"/>
      <c r="O1023" s="273"/>
      <c r="Q1023" s="230"/>
      <c r="R1023" s="230"/>
    </row>
    <row r="1024" spans="1:18" s="225" customFormat="1" hidden="1" x14ac:dyDescent="0.2">
      <c r="A1024" s="270"/>
      <c r="B1024" s="270"/>
      <c r="C1024" s="280"/>
      <c r="D1024" s="281"/>
      <c r="E1024" s="271"/>
      <c r="F1024" s="271"/>
      <c r="G1024" s="271"/>
      <c r="H1024" s="271"/>
      <c r="I1024" s="271"/>
      <c r="J1024" s="271"/>
      <c r="K1024" s="271"/>
      <c r="L1024" s="271"/>
      <c r="M1024" s="271"/>
      <c r="N1024" s="271"/>
      <c r="O1024" s="273"/>
      <c r="Q1024" s="230"/>
      <c r="R1024" s="230"/>
    </row>
    <row r="1025" spans="1:18" s="225" customFormat="1" hidden="1" x14ac:dyDescent="0.2">
      <c r="A1025" s="270"/>
      <c r="B1025" s="270"/>
      <c r="C1025" s="280"/>
      <c r="D1025" s="281"/>
      <c r="E1025" s="271"/>
      <c r="F1025" s="271"/>
      <c r="G1025" s="271"/>
      <c r="H1025" s="271"/>
      <c r="I1025" s="271"/>
      <c r="J1025" s="271"/>
      <c r="K1025" s="271"/>
      <c r="L1025" s="271"/>
      <c r="M1025" s="271"/>
      <c r="N1025" s="271"/>
      <c r="O1025" s="273"/>
      <c r="Q1025" s="230"/>
      <c r="R1025" s="230"/>
    </row>
    <row r="1026" spans="1:18" s="225" customFormat="1" hidden="1" x14ac:dyDescent="0.2">
      <c r="A1026" s="270"/>
      <c r="B1026" s="270"/>
      <c r="C1026" s="280"/>
      <c r="D1026" s="281"/>
      <c r="E1026" s="271"/>
      <c r="F1026" s="271"/>
      <c r="G1026" s="271"/>
      <c r="H1026" s="271"/>
      <c r="I1026" s="271"/>
      <c r="J1026" s="271"/>
      <c r="K1026" s="271"/>
      <c r="L1026" s="271"/>
      <c r="M1026" s="271"/>
      <c r="N1026" s="271"/>
      <c r="O1026" s="273"/>
      <c r="Q1026" s="230"/>
      <c r="R1026" s="230"/>
    </row>
    <row r="1027" spans="1:18" s="225" customFormat="1" hidden="1" x14ac:dyDescent="0.2">
      <c r="A1027" s="270"/>
      <c r="B1027" s="270"/>
      <c r="C1027" s="280"/>
      <c r="D1027" s="281"/>
      <c r="E1027" s="271"/>
      <c r="F1027" s="271"/>
      <c r="G1027" s="271"/>
      <c r="H1027" s="271"/>
      <c r="I1027" s="271"/>
      <c r="J1027" s="271"/>
      <c r="K1027" s="271"/>
      <c r="L1027" s="271"/>
      <c r="M1027" s="271"/>
      <c r="N1027" s="271"/>
      <c r="O1027" s="273"/>
      <c r="Q1027" s="230"/>
      <c r="R1027" s="230"/>
    </row>
    <row r="1028" spans="1:18" s="225" customFormat="1" hidden="1" x14ac:dyDescent="0.2">
      <c r="A1028" s="270"/>
      <c r="B1028" s="270"/>
      <c r="C1028" s="280"/>
      <c r="D1028" s="281"/>
      <c r="E1028" s="271"/>
      <c r="F1028" s="271"/>
      <c r="G1028" s="271"/>
      <c r="H1028" s="271"/>
      <c r="I1028" s="271"/>
      <c r="J1028" s="271"/>
      <c r="K1028" s="271"/>
      <c r="L1028" s="271"/>
      <c r="M1028" s="271"/>
      <c r="N1028" s="271"/>
      <c r="O1028" s="273"/>
      <c r="Q1028" s="230"/>
      <c r="R1028" s="230"/>
    </row>
    <row r="1029" spans="1:18" s="225" customFormat="1" hidden="1" x14ac:dyDescent="0.2">
      <c r="A1029" s="270"/>
      <c r="B1029" s="270"/>
      <c r="C1029" s="280"/>
      <c r="D1029" s="281"/>
      <c r="E1029" s="271"/>
      <c r="F1029" s="271"/>
      <c r="G1029" s="271"/>
      <c r="H1029" s="271"/>
      <c r="I1029" s="271"/>
      <c r="J1029" s="271"/>
      <c r="K1029" s="271"/>
      <c r="L1029" s="271"/>
      <c r="M1029" s="271"/>
      <c r="N1029" s="271"/>
      <c r="O1029" s="273"/>
      <c r="Q1029" s="230"/>
      <c r="R1029" s="230"/>
    </row>
    <row r="1030" spans="1:18" s="225" customFormat="1" hidden="1" x14ac:dyDescent="0.2">
      <c r="A1030" s="270"/>
      <c r="B1030" s="270"/>
      <c r="C1030" s="280"/>
      <c r="D1030" s="281"/>
      <c r="E1030" s="271"/>
      <c r="F1030" s="271"/>
      <c r="G1030" s="271"/>
      <c r="H1030" s="271"/>
      <c r="I1030" s="271"/>
      <c r="J1030" s="271"/>
      <c r="K1030" s="271"/>
      <c r="L1030" s="271"/>
      <c r="M1030" s="271"/>
      <c r="N1030" s="271"/>
      <c r="O1030" s="273"/>
      <c r="Q1030" s="230"/>
      <c r="R1030" s="230"/>
    </row>
    <row r="1031" spans="1:18" s="225" customFormat="1" hidden="1" x14ac:dyDescent="0.2">
      <c r="A1031" s="270"/>
      <c r="B1031" s="270"/>
      <c r="C1031" s="280"/>
      <c r="D1031" s="281"/>
      <c r="E1031" s="271"/>
      <c r="F1031" s="271"/>
      <c r="G1031" s="271"/>
      <c r="H1031" s="271"/>
      <c r="I1031" s="271"/>
      <c r="J1031" s="271"/>
      <c r="K1031" s="271"/>
      <c r="L1031" s="271"/>
      <c r="M1031" s="271"/>
      <c r="N1031" s="271"/>
      <c r="O1031" s="273"/>
      <c r="Q1031" s="230"/>
      <c r="R1031" s="230"/>
    </row>
    <row r="1032" spans="1:18" s="225" customFormat="1" hidden="1" x14ac:dyDescent="0.2">
      <c r="A1032" s="270"/>
      <c r="B1032" s="270"/>
      <c r="C1032" s="280"/>
      <c r="D1032" s="281"/>
      <c r="E1032" s="271"/>
      <c r="F1032" s="271"/>
      <c r="G1032" s="271"/>
      <c r="H1032" s="271"/>
      <c r="I1032" s="271"/>
      <c r="J1032" s="271"/>
      <c r="K1032" s="271"/>
      <c r="L1032" s="271"/>
      <c r="M1032" s="271"/>
      <c r="N1032" s="271"/>
      <c r="O1032" s="273"/>
      <c r="Q1032" s="230"/>
      <c r="R1032" s="230"/>
    </row>
    <row r="1033" spans="1:18" s="225" customFormat="1" hidden="1" x14ac:dyDescent="0.2">
      <c r="A1033" s="270"/>
      <c r="B1033" s="270"/>
      <c r="C1033" s="280"/>
      <c r="D1033" s="281"/>
      <c r="E1033" s="271"/>
      <c r="F1033" s="271"/>
      <c r="G1033" s="271"/>
      <c r="H1033" s="271"/>
      <c r="I1033" s="271"/>
      <c r="J1033" s="271"/>
      <c r="K1033" s="271"/>
      <c r="L1033" s="271"/>
      <c r="M1033" s="271"/>
      <c r="N1033" s="271"/>
      <c r="O1033" s="273"/>
      <c r="Q1033" s="230"/>
      <c r="R1033" s="230"/>
    </row>
    <row r="1034" spans="1:18" s="225" customFormat="1" hidden="1" x14ac:dyDescent="0.2">
      <c r="A1034" s="270"/>
      <c r="B1034" s="270"/>
      <c r="C1034" s="280"/>
      <c r="D1034" s="281"/>
      <c r="E1034" s="271"/>
      <c r="F1034" s="271"/>
      <c r="G1034" s="271"/>
      <c r="H1034" s="271"/>
      <c r="I1034" s="271"/>
      <c r="J1034" s="271"/>
      <c r="K1034" s="271"/>
      <c r="L1034" s="271"/>
      <c r="M1034" s="271"/>
      <c r="N1034" s="271"/>
      <c r="O1034" s="273"/>
      <c r="Q1034" s="230"/>
      <c r="R1034" s="230"/>
    </row>
    <row r="1035" spans="1:18" s="225" customFormat="1" hidden="1" x14ac:dyDescent="0.2">
      <c r="A1035" s="270"/>
      <c r="B1035" s="270"/>
      <c r="C1035" s="280"/>
      <c r="D1035" s="281"/>
      <c r="E1035" s="271"/>
      <c r="F1035" s="271"/>
      <c r="G1035" s="271"/>
      <c r="H1035" s="271"/>
      <c r="I1035" s="271"/>
      <c r="J1035" s="271"/>
      <c r="K1035" s="271"/>
      <c r="L1035" s="271"/>
      <c r="M1035" s="271"/>
      <c r="N1035" s="271"/>
      <c r="O1035" s="273"/>
      <c r="Q1035" s="230"/>
      <c r="R1035" s="230"/>
    </row>
    <row r="1036" spans="1:18" s="225" customFormat="1" hidden="1" x14ac:dyDescent="0.2">
      <c r="A1036" s="270"/>
      <c r="B1036" s="270"/>
      <c r="C1036" s="280"/>
      <c r="D1036" s="281"/>
      <c r="E1036" s="271"/>
      <c r="F1036" s="271"/>
      <c r="G1036" s="271"/>
      <c r="H1036" s="271"/>
      <c r="I1036" s="271"/>
      <c r="J1036" s="271"/>
      <c r="K1036" s="271"/>
      <c r="L1036" s="271"/>
      <c r="M1036" s="271"/>
      <c r="N1036" s="271"/>
      <c r="O1036" s="273"/>
      <c r="Q1036" s="230"/>
      <c r="R1036" s="230"/>
    </row>
    <row r="1037" spans="1:18" s="225" customFormat="1" hidden="1" x14ac:dyDescent="0.2">
      <c r="A1037" s="270"/>
      <c r="B1037" s="270"/>
      <c r="C1037" s="280"/>
      <c r="D1037" s="281"/>
      <c r="E1037" s="271"/>
      <c r="F1037" s="271"/>
      <c r="G1037" s="271"/>
      <c r="H1037" s="271"/>
      <c r="I1037" s="271"/>
      <c r="J1037" s="271"/>
      <c r="K1037" s="271"/>
      <c r="L1037" s="271"/>
      <c r="M1037" s="271"/>
      <c r="N1037" s="271"/>
      <c r="O1037" s="273"/>
      <c r="Q1037" s="230"/>
      <c r="R1037" s="230"/>
    </row>
    <row r="1038" spans="1:18" s="225" customFormat="1" hidden="1" x14ac:dyDescent="0.2">
      <c r="A1038" s="270"/>
      <c r="B1038" s="270"/>
      <c r="C1038" s="280"/>
      <c r="D1038" s="281"/>
      <c r="E1038" s="271"/>
      <c r="F1038" s="271"/>
      <c r="G1038" s="271"/>
      <c r="H1038" s="271"/>
      <c r="I1038" s="271"/>
      <c r="J1038" s="271"/>
      <c r="K1038" s="271"/>
      <c r="L1038" s="271"/>
      <c r="M1038" s="271"/>
      <c r="N1038" s="271"/>
      <c r="O1038" s="273"/>
      <c r="Q1038" s="230"/>
      <c r="R1038" s="230"/>
    </row>
    <row r="1039" spans="1:18" s="225" customFormat="1" hidden="1" x14ac:dyDescent="0.2">
      <c r="A1039" s="270"/>
      <c r="B1039" s="270"/>
      <c r="C1039" s="280"/>
      <c r="D1039" s="281"/>
      <c r="E1039" s="271"/>
      <c r="F1039" s="271"/>
      <c r="G1039" s="271"/>
      <c r="H1039" s="271"/>
      <c r="I1039" s="271"/>
      <c r="J1039" s="271"/>
      <c r="K1039" s="271"/>
      <c r="L1039" s="271"/>
      <c r="M1039" s="271"/>
      <c r="N1039" s="271"/>
      <c r="O1039" s="273"/>
      <c r="Q1039" s="230"/>
      <c r="R1039" s="230"/>
    </row>
    <row r="1040" spans="1:18" s="225" customFormat="1" hidden="1" x14ac:dyDescent="0.2">
      <c r="A1040" s="270"/>
      <c r="B1040" s="270"/>
      <c r="C1040" s="280"/>
      <c r="D1040" s="281"/>
      <c r="E1040" s="271"/>
      <c r="F1040" s="271"/>
      <c r="G1040" s="271"/>
      <c r="H1040" s="271"/>
      <c r="I1040" s="271"/>
      <c r="J1040" s="271"/>
      <c r="K1040" s="271"/>
      <c r="L1040" s="271"/>
      <c r="M1040" s="271"/>
      <c r="N1040" s="271"/>
      <c r="O1040" s="273"/>
      <c r="Q1040" s="230"/>
      <c r="R1040" s="230"/>
    </row>
    <row r="1041" spans="1:18" s="225" customFormat="1" hidden="1" x14ac:dyDescent="0.2">
      <c r="A1041" s="270"/>
      <c r="B1041" s="270"/>
      <c r="C1041" s="280"/>
      <c r="D1041" s="281"/>
      <c r="E1041" s="271"/>
      <c r="F1041" s="271"/>
      <c r="G1041" s="271"/>
      <c r="H1041" s="271"/>
      <c r="I1041" s="271"/>
      <c r="J1041" s="271"/>
      <c r="K1041" s="271"/>
      <c r="L1041" s="271"/>
      <c r="M1041" s="271"/>
      <c r="N1041" s="271"/>
      <c r="O1041" s="273"/>
      <c r="Q1041" s="230"/>
      <c r="R1041" s="230"/>
    </row>
    <row r="1042" spans="1:18" s="225" customFormat="1" hidden="1" x14ac:dyDescent="0.2">
      <c r="A1042" s="270"/>
      <c r="B1042" s="270"/>
      <c r="C1042" s="280"/>
      <c r="D1042" s="281"/>
      <c r="E1042" s="271"/>
      <c r="F1042" s="271"/>
      <c r="G1042" s="271"/>
      <c r="H1042" s="271"/>
      <c r="I1042" s="271"/>
      <c r="J1042" s="271"/>
      <c r="K1042" s="271"/>
      <c r="L1042" s="271"/>
      <c r="M1042" s="271"/>
      <c r="N1042" s="271"/>
      <c r="O1042" s="273"/>
      <c r="Q1042" s="230"/>
      <c r="R1042" s="230"/>
    </row>
    <row r="1043" spans="1:18" s="225" customFormat="1" hidden="1" x14ac:dyDescent="0.2">
      <c r="A1043" s="270"/>
      <c r="B1043" s="270"/>
      <c r="C1043" s="280"/>
      <c r="D1043" s="281"/>
      <c r="E1043" s="271"/>
      <c r="F1043" s="271"/>
      <c r="G1043" s="271"/>
      <c r="H1043" s="271"/>
      <c r="I1043" s="271"/>
      <c r="J1043" s="271"/>
      <c r="K1043" s="271"/>
      <c r="L1043" s="271"/>
      <c r="M1043" s="271"/>
      <c r="N1043" s="271"/>
      <c r="O1043" s="273"/>
      <c r="Q1043" s="230"/>
      <c r="R1043" s="230"/>
    </row>
    <row r="1044" spans="1:18" s="225" customFormat="1" hidden="1" x14ac:dyDescent="0.2">
      <c r="A1044" s="270"/>
      <c r="B1044" s="270"/>
      <c r="C1044" s="280"/>
      <c r="D1044" s="281"/>
      <c r="E1044" s="271"/>
      <c r="F1044" s="271"/>
      <c r="G1044" s="271"/>
      <c r="H1044" s="271"/>
      <c r="I1044" s="271"/>
      <c r="J1044" s="271"/>
      <c r="K1044" s="271"/>
      <c r="L1044" s="271"/>
      <c r="M1044" s="271"/>
      <c r="N1044" s="271"/>
      <c r="O1044" s="273"/>
      <c r="Q1044" s="230"/>
      <c r="R1044" s="230"/>
    </row>
    <row r="1045" spans="1:18" s="225" customFormat="1" hidden="1" x14ac:dyDescent="0.2">
      <c r="A1045" s="270"/>
      <c r="B1045" s="270"/>
      <c r="C1045" s="280"/>
      <c r="D1045" s="281"/>
      <c r="E1045" s="271"/>
      <c r="F1045" s="271"/>
      <c r="G1045" s="271"/>
      <c r="H1045" s="271"/>
      <c r="I1045" s="271"/>
      <c r="J1045" s="271"/>
      <c r="K1045" s="271"/>
      <c r="L1045" s="271"/>
      <c r="M1045" s="271"/>
      <c r="N1045" s="271"/>
      <c r="O1045" s="273"/>
      <c r="Q1045" s="230"/>
      <c r="R1045" s="230"/>
    </row>
    <row r="1046" spans="1:18" s="225" customFormat="1" hidden="1" x14ac:dyDescent="0.2">
      <c r="A1046" s="270"/>
      <c r="B1046" s="270"/>
      <c r="C1046" s="280"/>
      <c r="D1046" s="281"/>
      <c r="E1046" s="271"/>
      <c r="F1046" s="271"/>
      <c r="G1046" s="271"/>
      <c r="H1046" s="271"/>
      <c r="I1046" s="271"/>
      <c r="J1046" s="271"/>
      <c r="K1046" s="271"/>
      <c r="L1046" s="271"/>
      <c r="M1046" s="271"/>
      <c r="N1046" s="271"/>
      <c r="O1046" s="273"/>
      <c r="Q1046" s="230"/>
      <c r="R1046" s="230"/>
    </row>
    <row r="1047" spans="1:18" s="225" customFormat="1" hidden="1" x14ac:dyDescent="0.2">
      <c r="A1047" s="270"/>
      <c r="B1047" s="270"/>
      <c r="C1047" s="280"/>
      <c r="D1047" s="281"/>
      <c r="E1047" s="271"/>
      <c r="F1047" s="271"/>
      <c r="G1047" s="271"/>
      <c r="H1047" s="271"/>
      <c r="I1047" s="271"/>
      <c r="J1047" s="271"/>
      <c r="K1047" s="271"/>
      <c r="L1047" s="271"/>
      <c r="M1047" s="271"/>
      <c r="N1047" s="271"/>
      <c r="O1047" s="273"/>
      <c r="Q1047" s="230"/>
      <c r="R1047" s="230"/>
    </row>
    <row r="1048" spans="1:18" s="225" customFormat="1" hidden="1" x14ac:dyDescent="0.2">
      <c r="A1048" s="270"/>
      <c r="B1048" s="270"/>
      <c r="C1048" s="280"/>
      <c r="D1048" s="281"/>
      <c r="E1048" s="271"/>
      <c r="F1048" s="271"/>
      <c r="G1048" s="271"/>
      <c r="H1048" s="271"/>
      <c r="I1048" s="271"/>
      <c r="J1048" s="271"/>
      <c r="K1048" s="271"/>
      <c r="L1048" s="271"/>
      <c r="M1048" s="271"/>
      <c r="N1048" s="271"/>
      <c r="O1048" s="273"/>
      <c r="Q1048" s="230"/>
      <c r="R1048" s="230"/>
    </row>
    <row r="1049" spans="1:18" s="225" customFormat="1" x14ac:dyDescent="0.2">
      <c r="A1049" s="270"/>
      <c r="B1049" s="270"/>
      <c r="C1049" s="280"/>
      <c r="D1049" s="281"/>
      <c r="E1049" s="271"/>
      <c r="F1049" s="271"/>
      <c r="G1049" s="271"/>
      <c r="H1049" s="271"/>
      <c r="I1049" s="271"/>
      <c r="J1049" s="271"/>
      <c r="K1049" s="271"/>
      <c r="L1049" s="271"/>
      <c r="M1049" s="271"/>
      <c r="N1049" s="271"/>
      <c r="O1049" s="273"/>
      <c r="Q1049" s="230"/>
      <c r="R1049" s="230"/>
    </row>
    <row r="1050" spans="1:18" s="225" customFormat="1" x14ac:dyDescent="0.2">
      <c r="A1050" s="270"/>
      <c r="B1050" s="270"/>
      <c r="C1050" s="280"/>
      <c r="D1050" s="281"/>
      <c r="E1050" s="271"/>
      <c r="F1050" s="271"/>
      <c r="G1050" s="271"/>
      <c r="H1050" s="271"/>
      <c r="I1050" s="271"/>
      <c r="J1050" s="271"/>
      <c r="K1050" s="271"/>
      <c r="L1050" s="271"/>
      <c r="M1050" s="271"/>
      <c r="N1050" s="271"/>
      <c r="O1050" s="273"/>
      <c r="Q1050" s="230"/>
      <c r="R1050" s="230"/>
    </row>
    <row r="1051" spans="1:18" s="225" customFormat="1" x14ac:dyDescent="0.2">
      <c r="A1051" s="270"/>
      <c r="B1051" s="270"/>
      <c r="C1051" s="280"/>
      <c r="D1051" s="281"/>
      <c r="E1051" s="271"/>
      <c r="F1051" s="271"/>
      <c r="G1051" s="271"/>
      <c r="H1051" s="271"/>
      <c r="I1051" s="271"/>
      <c r="J1051" s="271"/>
      <c r="K1051" s="271"/>
      <c r="L1051" s="271"/>
      <c r="M1051" s="271"/>
      <c r="N1051" s="271"/>
      <c r="O1051" s="273"/>
      <c r="Q1051" s="230"/>
      <c r="R1051" s="230"/>
    </row>
    <row r="1052" spans="1:18" s="225" customFormat="1" x14ac:dyDescent="0.2">
      <c r="A1052" s="270"/>
      <c r="B1052" s="270"/>
      <c r="C1052" s="280"/>
      <c r="D1052" s="281"/>
      <c r="E1052" s="271"/>
      <c r="F1052" s="271"/>
      <c r="G1052" s="271"/>
      <c r="H1052" s="271"/>
      <c r="I1052" s="271"/>
      <c r="J1052" s="271"/>
      <c r="K1052" s="271"/>
      <c r="L1052" s="271"/>
      <c r="M1052" s="271"/>
      <c r="N1052" s="271"/>
      <c r="O1052" s="273"/>
      <c r="Q1052" s="230"/>
      <c r="R1052" s="230"/>
    </row>
    <row r="1053" spans="1:18" s="225" customFormat="1" x14ac:dyDescent="0.2">
      <c r="A1053" s="270"/>
      <c r="B1053" s="270"/>
      <c r="C1053" s="280"/>
      <c r="D1053" s="281"/>
      <c r="E1053" s="271"/>
      <c r="F1053" s="271"/>
      <c r="G1053" s="271"/>
      <c r="H1053" s="271"/>
      <c r="I1053" s="271"/>
      <c r="J1053" s="271"/>
      <c r="K1053" s="271"/>
      <c r="L1053" s="271"/>
      <c r="M1053" s="271"/>
      <c r="N1053" s="271"/>
      <c r="O1053" s="273"/>
      <c r="Q1053" s="230"/>
      <c r="R1053" s="230"/>
    </row>
    <row r="1054" spans="1:18" s="225" customFormat="1" x14ac:dyDescent="0.2">
      <c r="A1054" s="270"/>
      <c r="B1054" s="270"/>
      <c r="C1054" s="280"/>
      <c r="D1054" s="281"/>
      <c r="E1054" s="271"/>
      <c r="F1054" s="271"/>
      <c r="G1054" s="271"/>
      <c r="H1054" s="271"/>
      <c r="I1054" s="271"/>
      <c r="J1054" s="271"/>
      <c r="K1054" s="271"/>
      <c r="L1054" s="271"/>
      <c r="M1054" s="271"/>
      <c r="N1054" s="271"/>
      <c r="O1054" s="273"/>
      <c r="Q1054" s="230"/>
      <c r="R1054" s="230"/>
    </row>
    <row r="1055" spans="1:18" s="225" customFormat="1" x14ac:dyDescent="0.2">
      <c r="A1055" s="270"/>
      <c r="B1055" s="270"/>
      <c r="C1055" s="280"/>
      <c r="D1055" s="281"/>
      <c r="E1055" s="271"/>
      <c r="F1055" s="271"/>
      <c r="G1055" s="271"/>
      <c r="H1055" s="271"/>
      <c r="I1055" s="271"/>
      <c r="J1055" s="271"/>
      <c r="K1055" s="271"/>
      <c r="L1055" s="271"/>
      <c r="M1055" s="271"/>
      <c r="N1055" s="271"/>
      <c r="O1055" s="273"/>
      <c r="Q1055" s="230"/>
      <c r="R1055" s="230"/>
    </row>
    <row r="1056" spans="1:18" s="225" customFormat="1" x14ac:dyDescent="0.2">
      <c r="A1056" s="270"/>
      <c r="B1056" s="270"/>
      <c r="C1056" s="280"/>
      <c r="D1056" s="281"/>
      <c r="E1056" s="271"/>
      <c r="F1056" s="271"/>
      <c r="G1056" s="271"/>
      <c r="H1056" s="271"/>
      <c r="I1056" s="271"/>
      <c r="J1056" s="271"/>
      <c r="K1056" s="271"/>
      <c r="L1056" s="271"/>
      <c r="M1056" s="271"/>
      <c r="N1056" s="271"/>
      <c r="O1056" s="273"/>
      <c r="Q1056" s="230"/>
      <c r="R1056" s="230"/>
    </row>
    <row r="1057" spans="1:18" s="225" customFormat="1" x14ac:dyDescent="0.2">
      <c r="A1057" s="270"/>
      <c r="B1057" s="270"/>
      <c r="C1057" s="280"/>
      <c r="D1057" s="281"/>
      <c r="E1057" s="271"/>
      <c r="F1057" s="271"/>
      <c r="G1057" s="271"/>
      <c r="H1057" s="271"/>
      <c r="I1057" s="271"/>
      <c r="J1057" s="271"/>
      <c r="K1057" s="271"/>
      <c r="L1057" s="271"/>
      <c r="M1057" s="271"/>
      <c r="N1057" s="271"/>
      <c r="O1057" s="273"/>
      <c r="Q1057" s="230"/>
      <c r="R1057" s="230"/>
    </row>
    <row r="1058" spans="1:18" s="225" customFormat="1" x14ac:dyDescent="0.2">
      <c r="A1058" s="270"/>
      <c r="B1058" s="270"/>
      <c r="C1058" s="280"/>
      <c r="D1058" s="281"/>
      <c r="E1058" s="271"/>
      <c r="F1058" s="271"/>
      <c r="G1058" s="271"/>
      <c r="H1058" s="271"/>
      <c r="I1058" s="271"/>
      <c r="J1058" s="271"/>
      <c r="K1058" s="271"/>
      <c r="L1058" s="271"/>
      <c r="M1058" s="271"/>
      <c r="N1058" s="271"/>
      <c r="O1058" s="273"/>
      <c r="Q1058" s="230"/>
      <c r="R1058" s="230"/>
    </row>
    <row r="1059" spans="1:18" s="225" customFormat="1" x14ac:dyDescent="0.2">
      <c r="A1059" s="270"/>
      <c r="B1059" s="270"/>
      <c r="C1059" s="280"/>
      <c r="D1059" s="281"/>
      <c r="E1059" s="271"/>
      <c r="F1059" s="271"/>
      <c r="G1059" s="271"/>
      <c r="H1059" s="271"/>
      <c r="I1059" s="271"/>
      <c r="J1059" s="271"/>
      <c r="K1059" s="271"/>
      <c r="L1059" s="271"/>
      <c r="M1059" s="271"/>
      <c r="N1059" s="271"/>
      <c r="O1059" s="273"/>
      <c r="Q1059" s="230"/>
      <c r="R1059" s="230"/>
    </row>
    <row r="1060" spans="1:18" s="225" customFormat="1" x14ac:dyDescent="0.2">
      <c r="A1060" s="270"/>
      <c r="B1060" s="270"/>
      <c r="C1060" s="280"/>
      <c r="D1060" s="281"/>
      <c r="E1060" s="271"/>
      <c r="F1060" s="271"/>
      <c r="G1060" s="271"/>
      <c r="H1060" s="271"/>
      <c r="I1060" s="271"/>
      <c r="J1060" s="271"/>
      <c r="K1060" s="271"/>
      <c r="L1060" s="271"/>
      <c r="M1060" s="271"/>
      <c r="N1060" s="271"/>
      <c r="O1060" s="273"/>
      <c r="Q1060" s="230"/>
      <c r="R1060" s="230"/>
    </row>
    <row r="1061" spans="1:18" s="225" customFormat="1" x14ac:dyDescent="0.2">
      <c r="A1061" s="270"/>
      <c r="B1061" s="270"/>
      <c r="C1061" s="280"/>
      <c r="D1061" s="281"/>
      <c r="E1061" s="271"/>
      <c r="F1061" s="271"/>
      <c r="G1061" s="271"/>
      <c r="H1061" s="271"/>
      <c r="I1061" s="271"/>
      <c r="J1061" s="271"/>
      <c r="K1061" s="271"/>
      <c r="L1061" s="271"/>
      <c r="M1061" s="271"/>
      <c r="N1061" s="271"/>
      <c r="O1061" s="273"/>
      <c r="Q1061" s="230"/>
      <c r="R1061" s="230"/>
    </row>
    <row r="1062" spans="1:18" s="225" customFormat="1" x14ac:dyDescent="0.2">
      <c r="A1062" s="270"/>
      <c r="B1062" s="270"/>
      <c r="C1062" s="280"/>
      <c r="D1062" s="281"/>
      <c r="E1062" s="271"/>
      <c r="F1062" s="271"/>
      <c r="G1062" s="271"/>
      <c r="H1062" s="271"/>
      <c r="I1062" s="271"/>
      <c r="J1062" s="271"/>
      <c r="K1062" s="271"/>
      <c r="L1062" s="271"/>
      <c r="M1062" s="271"/>
      <c r="N1062" s="271"/>
      <c r="O1062" s="273"/>
      <c r="Q1062" s="230"/>
      <c r="R1062" s="230"/>
    </row>
    <row r="1063" spans="1:18" s="225" customFormat="1" x14ac:dyDescent="0.2">
      <c r="A1063" s="270"/>
      <c r="B1063" s="270"/>
      <c r="C1063" s="280"/>
      <c r="D1063" s="281"/>
      <c r="E1063" s="271"/>
      <c r="F1063" s="271"/>
      <c r="G1063" s="271"/>
      <c r="H1063" s="271"/>
      <c r="I1063" s="271"/>
      <c r="J1063" s="271"/>
      <c r="K1063" s="271"/>
      <c r="L1063" s="271"/>
      <c r="M1063" s="271"/>
      <c r="N1063" s="271"/>
      <c r="O1063" s="273"/>
      <c r="Q1063" s="230"/>
      <c r="R1063" s="230"/>
    </row>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sheetData>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29:G29 D99:M99 D204 E32:G32 I29:M29 I32:M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workbookViewId="0">
      <selection activeCell="R426" sqref="R426"/>
    </sheetView>
  </sheetViews>
  <sheetFormatPr defaultRowHeight="12.75" x14ac:dyDescent="0.2"/>
  <cols>
    <col min="1" max="1" width="4.1640625" style="275" customWidth="1"/>
    <col min="2" max="4" width="3.83203125" style="275" customWidth="1"/>
    <col min="5" max="5" width="7.1640625" style="275" customWidth="1"/>
    <col min="6" max="7" width="9.33203125" style="275"/>
    <col min="8" max="8" width="3.83203125" style="275" customWidth="1"/>
    <col min="9" max="9" width="9.33203125" style="275"/>
    <col min="10" max="10" width="14.33203125" style="275" customWidth="1"/>
    <col min="11" max="11" width="28.33203125" style="275" customWidth="1"/>
    <col min="12" max="12" width="4" style="275" customWidth="1"/>
    <col min="13" max="14" width="9.33203125" style="275"/>
    <col min="15" max="15" width="4.5" style="275" customWidth="1"/>
    <col min="16" max="16" width="10.83203125" style="275" customWidth="1"/>
    <col min="17" max="23" width="11" style="275" customWidth="1"/>
    <col min="24" max="38" width="10.5" style="275" customWidth="1"/>
    <col min="39" max="16384" width="9.33203125" style="275"/>
  </cols>
  <sheetData>
    <row r="1" spans="1:33" s="14" customFormat="1" x14ac:dyDescent="0.2">
      <c r="A1" s="153"/>
      <c r="B1" s="153"/>
    </row>
    <row r="2" spans="1:33" s="14" customFormat="1" x14ac:dyDescent="0.2">
      <c r="A2" s="153"/>
      <c r="B2" s="153"/>
      <c r="C2" s="168"/>
      <c r="F2" s="168" t="s">
        <v>208</v>
      </c>
    </row>
    <row r="3" spans="1:33" s="14" customFormat="1" x14ac:dyDescent="0.2">
      <c r="C3" s="169"/>
      <c r="F3" s="169" t="s">
        <v>0</v>
      </c>
    </row>
    <row r="4" spans="1:33" s="14" customFormat="1" ht="25.5" customHeight="1" x14ac:dyDescent="0.2">
      <c r="C4" s="169"/>
      <c r="F4" s="278" t="s">
        <v>187</v>
      </c>
    </row>
    <row r="5" spans="1:33" s="129" customFormat="1" ht="17.25" customHeight="1" x14ac:dyDescent="0.2"/>
    <row r="8" spans="1:33" x14ac:dyDescent="0.2">
      <c r="Q8" s="285" t="s">
        <v>432</v>
      </c>
      <c r="R8" s="285"/>
      <c r="S8" s="285"/>
      <c r="T8" s="285"/>
      <c r="U8" s="285"/>
      <c r="V8" s="285"/>
      <c r="W8" s="285"/>
      <c r="X8" s="285"/>
      <c r="Y8" s="285"/>
      <c r="Z8" s="285"/>
      <c r="AA8" s="285"/>
      <c r="AB8" s="285"/>
      <c r="AC8" s="285"/>
      <c r="AD8" s="285"/>
      <c r="AE8" s="285"/>
      <c r="AF8" s="285"/>
      <c r="AG8" s="285"/>
    </row>
    <row r="9" spans="1:33" x14ac:dyDescent="0.2">
      <c r="Q9" s="285" t="s">
        <v>71</v>
      </c>
      <c r="R9" s="285" t="s">
        <v>72</v>
      </c>
      <c r="S9" s="285" t="s">
        <v>234</v>
      </c>
      <c r="T9" s="285" t="s">
        <v>235</v>
      </c>
      <c r="U9" s="285" t="s">
        <v>236</v>
      </c>
      <c r="V9" s="285" t="s">
        <v>237</v>
      </c>
      <c r="W9" s="285" t="s">
        <v>238</v>
      </c>
      <c r="X9" s="285" t="s">
        <v>239</v>
      </c>
      <c r="Y9" s="285" t="s">
        <v>240</v>
      </c>
      <c r="Z9" s="285" t="s">
        <v>241</v>
      </c>
      <c r="AA9" s="285" t="s">
        <v>242</v>
      </c>
      <c r="AB9" s="285" t="s">
        <v>243</v>
      </c>
      <c r="AC9" s="285" t="s">
        <v>433</v>
      </c>
      <c r="AD9" s="285" t="s">
        <v>434</v>
      </c>
      <c r="AE9" s="285" t="s">
        <v>435</v>
      </c>
      <c r="AF9" s="285" t="s">
        <v>436</v>
      </c>
      <c r="AG9" s="285" t="s">
        <v>437</v>
      </c>
    </row>
    <row r="10" spans="1:33" x14ac:dyDescent="0.2">
      <c r="Q10" s="285" t="s">
        <v>72</v>
      </c>
      <c r="R10" s="285" t="s">
        <v>234</v>
      </c>
      <c r="S10" s="285" t="s">
        <v>235</v>
      </c>
      <c r="T10" s="285" t="s">
        <v>236</v>
      </c>
      <c r="U10" s="285" t="s">
        <v>237</v>
      </c>
      <c r="V10" s="285" t="s">
        <v>238</v>
      </c>
      <c r="W10" s="285" t="s">
        <v>239</v>
      </c>
      <c r="X10" s="285" t="s">
        <v>240</v>
      </c>
      <c r="Y10" s="285" t="s">
        <v>241</v>
      </c>
      <c r="Z10" s="285" t="s">
        <v>242</v>
      </c>
      <c r="AA10" s="285" t="s">
        <v>243</v>
      </c>
      <c r="AB10" s="285" t="s">
        <v>433</v>
      </c>
      <c r="AC10" s="285" t="s">
        <v>434</v>
      </c>
      <c r="AD10" s="285" t="s">
        <v>435</v>
      </c>
      <c r="AE10" s="285" t="s">
        <v>436</v>
      </c>
      <c r="AF10" s="285" t="s">
        <v>437</v>
      </c>
      <c r="AG10" s="285" t="s">
        <v>438</v>
      </c>
    </row>
    <row r="11" spans="1:33" x14ac:dyDescent="0.2">
      <c r="Q11" s="285" t="s">
        <v>234</v>
      </c>
      <c r="R11" s="285" t="s">
        <v>235</v>
      </c>
      <c r="S11" s="285" t="s">
        <v>236</v>
      </c>
      <c r="T11" s="285" t="s">
        <v>237</v>
      </c>
      <c r="U11" s="285" t="s">
        <v>238</v>
      </c>
      <c r="V11" s="285" t="s">
        <v>239</v>
      </c>
      <c r="W11" s="285" t="s">
        <v>240</v>
      </c>
      <c r="X11" s="285" t="s">
        <v>241</v>
      </c>
      <c r="Y11" s="285" t="s">
        <v>242</v>
      </c>
      <c r="Z11" s="285" t="s">
        <v>243</v>
      </c>
      <c r="AA11" s="285" t="s">
        <v>433</v>
      </c>
      <c r="AB11" s="285" t="s">
        <v>434</v>
      </c>
      <c r="AC11" s="285" t="s">
        <v>435</v>
      </c>
      <c r="AD11" s="285" t="s">
        <v>436</v>
      </c>
      <c r="AE11" s="285" t="s">
        <v>437</v>
      </c>
      <c r="AF11" s="285" t="s">
        <v>438</v>
      </c>
      <c r="AG11" s="285" t="s">
        <v>439</v>
      </c>
    </row>
    <row r="12" spans="1:33" x14ac:dyDescent="0.2">
      <c r="Q12" s="285" t="s">
        <v>235</v>
      </c>
      <c r="R12" s="285" t="s">
        <v>236</v>
      </c>
      <c r="S12" s="285" t="s">
        <v>237</v>
      </c>
      <c r="T12" s="285" t="s">
        <v>238</v>
      </c>
      <c r="U12" s="285" t="s">
        <v>239</v>
      </c>
      <c r="V12" s="285" t="s">
        <v>240</v>
      </c>
      <c r="W12" s="285" t="s">
        <v>241</v>
      </c>
      <c r="X12" s="285" t="s">
        <v>242</v>
      </c>
      <c r="Y12" s="285" t="s">
        <v>243</v>
      </c>
      <c r="Z12" s="285" t="s">
        <v>433</v>
      </c>
      <c r="AA12" s="285" t="s">
        <v>434</v>
      </c>
      <c r="AB12" s="285" t="s">
        <v>435</v>
      </c>
      <c r="AC12" s="285" t="s">
        <v>436</v>
      </c>
      <c r="AD12" s="285" t="s">
        <v>437</v>
      </c>
      <c r="AE12" s="285" t="s">
        <v>438</v>
      </c>
      <c r="AF12" s="285" t="s">
        <v>439</v>
      </c>
      <c r="AG12" s="285" t="s">
        <v>440</v>
      </c>
    </row>
    <row r="13" spans="1:33" x14ac:dyDescent="0.2">
      <c r="Q13" s="285" t="s">
        <v>236</v>
      </c>
      <c r="R13" s="285" t="s">
        <v>237</v>
      </c>
      <c r="S13" s="285" t="s">
        <v>238</v>
      </c>
      <c r="T13" s="285" t="s">
        <v>239</v>
      </c>
      <c r="U13" s="285" t="s">
        <v>240</v>
      </c>
      <c r="V13" s="285" t="s">
        <v>241</v>
      </c>
      <c r="W13" s="285" t="s">
        <v>242</v>
      </c>
      <c r="X13" s="285" t="s">
        <v>243</v>
      </c>
      <c r="Y13" s="285" t="s">
        <v>433</v>
      </c>
      <c r="Z13" s="285" t="s">
        <v>434</v>
      </c>
      <c r="AA13" s="285" t="s">
        <v>435</v>
      </c>
      <c r="AB13" s="285" t="s">
        <v>436</v>
      </c>
      <c r="AC13" s="285" t="s">
        <v>437</v>
      </c>
      <c r="AD13" s="285" t="s">
        <v>438</v>
      </c>
      <c r="AE13" s="285" t="s">
        <v>439</v>
      </c>
      <c r="AF13" s="285" t="s">
        <v>440</v>
      </c>
      <c r="AG13" s="285"/>
    </row>
    <row r="14" spans="1:33" x14ac:dyDescent="0.2">
      <c r="C14" s="276" t="s">
        <v>185</v>
      </c>
      <c r="Q14" s="285" t="s">
        <v>237</v>
      </c>
      <c r="R14" s="285" t="s">
        <v>238</v>
      </c>
      <c r="S14" s="285" t="s">
        <v>239</v>
      </c>
      <c r="T14" s="285" t="s">
        <v>240</v>
      </c>
      <c r="U14" s="285" t="s">
        <v>241</v>
      </c>
      <c r="V14" s="285" t="s">
        <v>242</v>
      </c>
      <c r="W14" s="285" t="s">
        <v>243</v>
      </c>
      <c r="X14" s="285" t="s">
        <v>433</v>
      </c>
      <c r="Y14" s="285" t="s">
        <v>434</v>
      </c>
      <c r="Z14" s="285" t="s">
        <v>435</v>
      </c>
      <c r="AA14" s="285" t="s">
        <v>436</v>
      </c>
      <c r="AB14" s="285" t="s">
        <v>437</v>
      </c>
      <c r="AC14" s="285" t="s">
        <v>438</v>
      </c>
      <c r="AD14" s="285" t="s">
        <v>439</v>
      </c>
      <c r="AE14" s="285" t="s">
        <v>440</v>
      </c>
      <c r="AF14" s="285"/>
      <c r="AG14" s="285"/>
    </row>
    <row r="15" spans="1:33" x14ac:dyDescent="0.2">
      <c r="Q15" s="285" t="s">
        <v>238</v>
      </c>
      <c r="R15" s="285" t="s">
        <v>239</v>
      </c>
      <c r="S15" s="285" t="s">
        <v>240</v>
      </c>
      <c r="T15" s="285" t="s">
        <v>241</v>
      </c>
      <c r="U15" s="285" t="s">
        <v>242</v>
      </c>
      <c r="V15" s="285" t="s">
        <v>243</v>
      </c>
      <c r="W15" s="285" t="s">
        <v>433</v>
      </c>
      <c r="X15" s="285" t="s">
        <v>434</v>
      </c>
      <c r="Y15" s="285" t="s">
        <v>435</v>
      </c>
      <c r="Z15" s="285" t="s">
        <v>436</v>
      </c>
      <c r="AA15" s="285" t="s">
        <v>437</v>
      </c>
      <c r="AB15" s="285" t="s">
        <v>438</v>
      </c>
      <c r="AC15" s="285" t="s">
        <v>439</v>
      </c>
      <c r="AD15" s="285" t="s">
        <v>440</v>
      </c>
      <c r="AE15" s="285"/>
      <c r="AF15" s="285"/>
      <c r="AG15" s="285"/>
    </row>
    <row r="16" spans="1:33" x14ac:dyDescent="0.2">
      <c r="C16" s="763" t="s">
        <v>465</v>
      </c>
      <c r="D16" s="729"/>
      <c r="E16" s="729"/>
      <c r="F16" s="729"/>
      <c r="G16" s="729"/>
      <c r="H16" s="729"/>
      <c r="I16" s="729"/>
      <c r="J16" s="729"/>
      <c r="K16" s="729"/>
      <c r="L16" s="729"/>
      <c r="M16" s="729"/>
      <c r="N16" s="752"/>
      <c r="Q16" s="285" t="s">
        <v>239</v>
      </c>
      <c r="R16" s="285" t="s">
        <v>240</v>
      </c>
      <c r="S16" s="285" t="s">
        <v>241</v>
      </c>
      <c r="T16" s="285" t="s">
        <v>242</v>
      </c>
      <c r="U16" s="285" t="s">
        <v>243</v>
      </c>
      <c r="V16" s="285" t="s">
        <v>433</v>
      </c>
      <c r="W16" s="285" t="s">
        <v>434</v>
      </c>
      <c r="X16" s="285" t="s">
        <v>435</v>
      </c>
      <c r="Y16" s="285" t="s">
        <v>436</v>
      </c>
      <c r="Z16" s="285" t="s">
        <v>437</v>
      </c>
      <c r="AA16" s="285" t="s">
        <v>438</v>
      </c>
      <c r="AB16" s="285" t="s">
        <v>439</v>
      </c>
      <c r="AC16" s="285" t="s">
        <v>440</v>
      </c>
      <c r="AD16" s="285"/>
      <c r="AE16" s="285"/>
      <c r="AF16" s="285"/>
      <c r="AG16" s="285"/>
    </row>
    <row r="17" spans="3:33" x14ac:dyDescent="0.2">
      <c r="C17" s="731"/>
      <c r="D17" s="732"/>
      <c r="E17" s="732"/>
      <c r="F17" s="732"/>
      <c r="G17" s="732"/>
      <c r="H17" s="732"/>
      <c r="I17" s="732"/>
      <c r="J17" s="732"/>
      <c r="K17" s="732"/>
      <c r="L17" s="732"/>
      <c r="M17" s="732"/>
      <c r="N17" s="733"/>
      <c r="Q17" s="285" t="s">
        <v>240</v>
      </c>
      <c r="R17" s="285" t="s">
        <v>241</v>
      </c>
      <c r="S17" s="285" t="s">
        <v>242</v>
      </c>
      <c r="T17" s="285" t="s">
        <v>243</v>
      </c>
      <c r="U17" s="285" t="s">
        <v>433</v>
      </c>
      <c r="V17" s="285" t="s">
        <v>434</v>
      </c>
      <c r="W17" s="285" t="s">
        <v>435</v>
      </c>
      <c r="X17" s="285" t="s">
        <v>436</v>
      </c>
      <c r="Y17" s="285" t="s">
        <v>437</v>
      </c>
      <c r="Z17" s="285" t="s">
        <v>438</v>
      </c>
      <c r="AA17" s="285" t="s">
        <v>439</v>
      </c>
      <c r="AB17" s="285" t="s">
        <v>440</v>
      </c>
      <c r="AC17" s="285"/>
      <c r="AD17" s="285"/>
      <c r="AE17" s="285"/>
      <c r="AF17" s="285"/>
      <c r="AG17" s="285"/>
    </row>
    <row r="18" spans="3:33" x14ac:dyDescent="0.2">
      <c r="C18" s="731"/>
      <c r="D18" s="732"/>
      <c r="E18" s="732"/>
      <c r="F18" s="732"/>
      <c r="G18" s="732"/>
      <c r="H18" s="732"/>
      <c r="I18" s="732"/>
      <c r="J18" s="732"/>
      <c r="K18" s="732"/>
      <c r="L18" s="732"/>
      <c r="M18" s="732"/>
      <c r="N18" s="733"/>
      <c r="Q18" s="285" t="s">
        <v>241</v>
      </c>
      <c r="R18" s="285" t="s">
        <v>242</v>
      </c>
      <c r="S18" s="285" t="s">
        <v>243</v>
      </c>
      <c r="T18" s="285" t="s">
        <v>433</v>
      </c>
      <c r="U18" s="285" t="s">
        <v>434</v>
      </c>
      <c r="V18" s="285" t="s">
        <v>435</v>
      </c>
      <c r="W18" s="285" t="s">
        <v>436</v>
      </c>
      <c r="X18" s="285" t="s">
        <v>437</v>
      </c>
      <c r="Y18" s="285" t="s">
        <v>438</v>
      </c>
      <c r="Z18" s="285" t="s">
        <v>439</v>
      </c>
      <c r="AA18" s="285" t="s">
        <v>440</v>
      </c>
      <c r="AB18" s="285"/>
      <c r="AC18" s="285"/>
      <c r="AD18" s="285"/>
      <c r="AE18" s="285"/>
      <c r="AF18" s="285"/>
      <c r="AG18" s="285"/>
    </row>
    <row r="19" spans="3:33" x14ac:dyDescent="0.2">
      <c r="C19" s="731"/>
      <c r="D19" s="732"/>
      <c r="E19" s="732"/>
      <c r="F19" s="732"/>
      <c r="G19" s="732"/>
      <c r="H19" s="732"/>
      <c r="I19" s="732"/>
      <c r="J19" s="732"/>
      <c r="K19" s="732"/>
      <c r="L19" s="732"/>
      <c r="M19" s="732"/>
      <c r="N19" s="733"/>
      <c r="Q19" s="285" t="s">
        <v>242</v>
      </c>
      <c r="R19" s="285" t="s">
        <v>243</v>
      </c>
      <c r="S19" s="285" t="s">
        <v>433</v>
      </c>
      <c r="T19" s="285" t="s">
        <v>434</v>
      </c>
      <c r="U19" s="285" t="s">
        <v>435</v>
      </c>
      <c r="V19" s="285" t="s">
        <v>436</v>
      </c>
      <c r="W19" s="285" t="s">
        <v>437</v>
      </c>
      <c r="X19" s="285" t="s">
        <v>438</v>
      </c>
      <c r="Y19" s="285" t="s">
        <v>439</v>
      </c>
      <c r="Z19" s="285" t="s">
        <v>440</v>
      </c>
      <c r="AA19" s="285"/>
      <c r="AB19" s="285"/>
      <c r="AC19" s="285"/>
      <c r="AD19" s="285"/>
      <c r="AE19" s="285"/>
      <c r="AF19" s="285"/>
      <c r="AG19" s="285"/>
    </row>
    <row r="20" spans="3:33" x14ac:dyDescent="0.2">
      <c r="C20" s="731"/>
      <c r="D20" s="732"/>
      <c r="E20" s="732"/>
      <c r="F20" s="732"/>
      <c r="G20" s="732"/>
      <c r="H20" s="732"/>
      <c r="I20" s="732"/>
      <c r="J20" s="732"/>
      <c r="K20" s="732"/>
      <c r="L20" s="732"/>
      <c r="M20" s="732"/>
      <c r="N20" s="733"/>
      <c r="Q20" s="285" t="s">
        <v>243</v>
      </c>
      <c r="R20" s="285" t="s">
        <v>433</v>
      </c>
      <c r="S20" s="285" t="s">
        <v>434</v>
      </c>
      <c r="T20" s="285" t="s">
        <v>435</v>
      </c>
      <c r="U20" s="285" t="s">
        <v>436</v>
      </c>
      <c r="V20" s="285" t="s">
        <v>437</v>
      </c>
      <c r="W20" s="285" t="s">
        <v>438</v>
      </c>
      <c r="X20" s="285" t="s">
        <v>439</v>
      </c>
      <c r="Y20" s="285" t="s">
        <v>440</v>
      </c>
      <c r="Z20" s="285"/>
      <c r="AA20" s="285"/>
      <c r="AB20" s="285"/>
      <c r="AC20" s="285"/>
      <c r="AD20" s="285"/>
      <c r="AE20" s="285"/>
      <c r="AF20" s="285"/>
      <c r="AG20" s="285"/>
    </row>
    <row r="21" spans="3:33" x14ac:dyDescent="0.2">
      <c r="C21" s="731"/>
      <c r="D21" s="732"/>
      <c r="E21" s="732"/>
      <c r="F21" s="732"/>
      <c r="G21" s="732"/>
      <c r="H21" s="732"/>
      <c r="I21" s="732"/>
      <c r="J21" s="732"/>
      <c r="K21" s="732"/>
      <c r="L21" s="732"/>
      <c r="M21" s="732"/>
      <c r="N21" s="733"/>
      <c r="Q21" s="285" t="s">
        <v>433</v>
      </c>
      <c r="R21" s="285" t="s">
        <v>434</v>
      </c>
      <c r="S21" s="285" t="s">
        <v>435</v>
      </c>
      <c r="T21" s="285" t="s">
        <v>436</v>
      </c>
      <c r="U21" s="285" t="s">
        <v>437</v>
      </c>
      <c r="V21" s="285" t="s">
        <v>438</v>
      </c>
      <c r="W21" s="285" t="s">
        <v>439</v>
      </c>
      <c r="X21" s="285" t="s">
        <v>440</v>
      </c>
      <c r="Y21" s="285"/>
      <c r="Z21" s="285"/>
      <c r="AA21" s="285"/>
      <c r="AB21" s="285"/>
      <c r="AC21" s="285"/>
      <c r="AD21" s="285"/>
      <c r="AE21" s="285"/>
      <c r="AF21" s="285"/>
      <c r="AG21" s="285"/>
    </row>
    <row r="22" spans="3:33" x14ac:dyDescent="0.2">
      <c r="C22" s="731"/>
      <c r="D22" s="732"/>
      <c r="E22" s="732"/>
      <c r="F22" s="732"/>
      <c r="G22" s="732"/>
      <c r="H22" s="732"/>
      <c r="I22" s="732"/>
      <c r="J22" s="732"/>
      <c r="K22" s="732"/>
      <c r="L22" s="732"/>
      <c r="M22" s="732"/>
      <c r="N22" s="733"/>
      <c r="Q22" s="285" t="s">
        <v>434</v>
      </c>
      <c r="R22" s="285" t="s">
        <v>435</v>
      </c>
      <c r="S22" s="285" t="s">
        <v>436</v>
      </c>
      <c r="T22" s="285" t="s">
        <v>437</v>
      </c>
      <c r="U22" s="285" t="s">
        <v>438</v>
      </c>
      <c r="V22" s="285" t="s">
        <v>439</v>
      </c>
      <c r="W22" s="285" t="s">
        <v>440</v>
      </c>
      <c r="X22" s="285"/>
      <c r="Y22" s="285"/>
      <c r="Z22" s="285"/>
      <c r="AA22" s="285"/>
      <c r="AB22" s="285"/>
      <c r="AC22" s="285"/>
      <c r="AD22" s="285"/>
      <c r="AE22" s="285"/>
      <c r="AF22" s="285"/>
      <c r="AG22" s="285"/>
    </row>
    <row r="23" spans="3:33" x14ac:dyDescent="0.2">
      <c r="C23" s="731"/>
      <c r="D23" s="732"/>
      <c r="E23" s="732"/>
      <c r="F23" s="732"/>
      <c r="G23" s="732"/>
      <c r="H23" s="732"/>
      <c r="I23" s="732"/>
      <c r="J23" s="732"/>
      <c r="K23" s="732"/>
      <c r="L23" s="732"/>
      <c r="M23" s="732"/>
      <c r="N23" s="733"/>
      <c r="Q23" s="285" t="s">
        <v>435</v>
      </c>
      <c r="R23" s="285" t="s">
        <v>436</v>
      </c>
      <c r="S23" s="285" t="s">
        <v>437</v>
      </c>
      <c r="T23" s="285" t="s">
        <v>438</v>
      </c>
      <c r="U23" s="285" t="s">
        <v>439</v>
      </c>
      <c r="V23" s="285" t="s">
        <v>440</v>
      </c>
      <c r="W23" s="645"/>
      <c r="X23" s="645"/>
      <c r="Y23" s="285"/>
      <c r="Z23" s="285"/>
      <c r="AA23" s="285"/>
      <c r="AB23" s="285"/>
      <c r="AC23" s="285"/>
      <c r="AD23" s="285"/>
      <c r="AE23" s="285"/>
      <c r="AF23" s="285"/>
      <c r="AG23" s="285"/>
    </row>
    <row r="24" spans="3:33" x14ac:dyDescent="0.2">
      <c r="C24" s="731"/>
      <c r="D24" s="732"/>
      <c r="E24" s="732"/>
      <c r="F24" s="732"/>
      <c r="G24" s="732"/>
      <c r="H24" s="732"/>
      <c r="I24" s="732"/>
      <c r="J24" s="732"/>
      <c r="K24" s="732"/>
      <c r="L24" s="732"/>
      <c r="M24" s="732"/>
      <c r="N24" s="733"/>
      <c r="Q24" s="285" t="s">
        <v>437</v>
      </c>
      <c r="R24" s="285" t="s">
        <v>438</v>
      </c>
      <c r="S24" s="285" t="s">
        <v>439</v>
      </c>
      <c r="T24" s="285" t="s">
        <v>440</v>
      </c>
      <c r="U24" s="285"/>
      <c r="V24" s="646"/>
      <c r="W24" s="645"/>
      <c r="X24" s="645"/>
      <c r="Y24" s="285"/>
      <c r="Z24" s="285"/>
      <c r="AA24" s="285"/>
      <c r="AB24" s="285"/>
      <c r="AC24" s="285"/>
      <c r="AD24" s="285"/>
      <c r="AE24" s="285"/>
      <c r="AF24" s="285"/>
      <c r="AG24" s="285"/>
    </row>
    <row r="25" spans="3:33" x14ac:dyDescent="0.2">
      <c r="C25" s="731"/>
      <c r="D25" s="732"/>
      <c r="E25" s="732"/>
      <c r="F25" s="732"/>
      <c r="G25" s="732"/>
      <c r="H25" s="732"/>
      <c r="I25" s="732"/>
      <c r="J25" s="732"/>
      <c r="K25" s="732"/>
      <c r="L25" s="732"/>
      <c r="M25" s="732"/>
      <c r="N25" s="733"/>
      <c r="Q25" s="285" t="s">
        <v>438</v>
      </c>
      <c r="R25" s="285" t="s">
        <v>439</v>
      </c>
      <c r="S25" s="285" t="s">
        <v>440</v>
      </c>
      <c r="T25" s="285"/>
      <c r="U25" s="285"/>
      <c r="V25" s="646"/>
      <c r="W25" s="645"/>
      <c r="X25" s="645"/>
      <c r="Y25" s="285"/>
      <c r="Z25" s="285"/>
      <c r="AA25" s="285"/>
      <c r="AB25" s="285"/>
      <c r="AC25" s="285"/>
      <c r="AD25" s="285"/>
      <c r="AE25" s="285"/>
      <c r="AF25" s="285"/>
      <c r="AG25" s="285"/>
    </row>
    <row r="26" spans="3:33" x14ac:dyDescent="0.2">
      <c r="C26" s="731"/>
      <c r="D26" s="732"/>
      <c r="E26" s="732"/>
      <c r="F26" s="732"/>
      <c r="G26" s="732"/>
      <c r="H26" s="732"/>
      <c r="I26" s="732"/>
      <c r="J26" s="732"/>
      <c r="K26" s="732"/>
      <c r="L26" s="732"/>
      <c r="M26" s="732"/>
      <c r="N26" s="733"/>
      <c r="Q26" s="285" t="s">
        <v>439</v>
      </c>
      <c r="R26" s="285" t="s">
        <v>440</v>
      </c>
      <c r="S26" s="285"/>
      <c r="T26" s="285"/>
      <c r="U26" s="285"/>
      <c r="V26" s="646"/>
      <c r="W26" s="645"/>
      <c r="X26" s="645"/>
      <c r="Y26" s="285"/>
      <c r="Z26" s="285"/>
      <c r="AA26" s="285"/>
      <c r="AB26" s="285"/>
      <c r="AC26" s="285"/>
      <c r="AD26" s="285"/>
      <c r="AE26" s="285"/>
      <c r="AF26" s="285"/>
      <c r="AG26" s="285"/>
    </row>
    <row r="27" spans="3:33" x14ac:dyDescent="0.2">
      <c r="C27" s="731"/>
      <c r="D27" s="732"/>
      <c r="E27" s="732"/>
      <c r="F27" s="732"/>
      <c r="G27" s="732"/>
      <c r="H27" s="732"/>
      <c r="I27" s="732"/>
      <c r="J27" s="732"/>
      <c r="K27" s="732"/>
      <c r="L27" s="732"/>
      <c r="M27" s="732"/>
      <c r="N27" s="733"/>
      <c r="V27" s="158"/>
      <c r="W27" s="163"/>
      <c r="X27" s="163"/>
    </row>
    <row r="28" spans="3:33" x14ac:dyDescent="0.2">
      <c r="C28" s="731"/>
      <c r="D28" s="732"/>
      <c r="E28" s="732"/>
      <c r="F28" s="732"/>
      <c r="G28" s="732"/>
      <c r="H28" s="732"/>
      <c r="I28" s="732"/>
      <c r="J28" s="732"/>
      <c r="K28" s="732"/>
      <c r="L28" s="732"/>
      <c r="M28" s="732"/>
      <c r="N28" s="733"/>
      <c r="V28" s="158"/>
      <c r="W28" s="163"/>
      <c r="X28" s="163"/>
    </row>
    <row r="29" spans="3:33" x14ac:dyDescent="0.2">
      <c r="C29" s="731"/>
      <c r="D29" s="732"/>
      <c r="E29" s="732"/>
      <c r="F29" s="732"/>
      <c r="G29" s="732"/>
      <c r="H29" s="732"/>
      <c r="I29" s="732"/>
      <c r="J29" s="732"/>
      <c r="K29" s="732"/>
      <c r="L29" s="732"/>
      <c r="M29" s="732"/>
      <c r="N29" s="733"/>
      <c r="V29" s="158"/>
      <c r="W29" s="163"/>
      <c r="X29" s="163"/>
    </row>
    <row r="30" spans="3:33" x14ac:dyDescent="0.2">
      <c r="C30" s="731"/>
      <c r="D30" s="732"/>
      <c r="E30" s="732"/>
      <c r="F30" s="732"/>
      <c r="G30" s="732"/>
      <c r="H30" s="732"/>
      <c r="I30" s="732"/>
      <c r="J30" s="732"/>
      <c r="K30" s="732"/>
      <c r="L30" s="732"/>
      <c r="M30" s="732"/>
      <c r="N30" s="733"/>
    </row>
    <row r="31" spans="3:33" x14ac:dyDescent="0.2">
      <c r="C31" s="731"/>
      <c r="D31" s="732"/>
      <c r="E31" s="732"/>
      <c r="F31" s="732"/>
      <c r="G31" s="732"/>
      <c r="H31" s="732"/>
      <c r="I31" s="732"/>
      <c r="J31" s="732"/>
      <c r="K31" s="732"/>
      <c r="L31" s="732"/>
      <c r="M31" s="732"/>
      <c r="N31" s="733"/>
    </row>
    <row r="32" spans="3:33" x14ac:dyDescent="0.2">
      <c r="C32" s="731"/>
      <c r="D32" s="732"/>
      <c r="E32" s="732"/>
      <c r="F32" s="732"/>
      <c r="G32" s="732"/>
      <c r="H32" s="732"/>
      <c r="I32" s="732"/>
      <c r="J32" s="732"/>
      <c r="K32" s="732"/>
      <c r="L32" s="732"/>
      <c r="M32" s="732"/>
      <c r="N32" s="733"/>
    </row>
    <row r="33" spans="3:14" x14ac:dyDescent="0.2">
      <c r="C33" s="731"/>
      <c r="D33" s="732"/>
      <c r="E33" s="732"/>
      <c r="F33" s="732"/>
      <c r="G33" s="732"/>
      <c r="H33" s="732"/>
      <c r="I33" s="732"/>
      <c r="J33" s="732"/>
      <c r="K33" s="732"/>
      <c r="L33" s="732"/>
      <c r="M33" s="732"/>
      <c r="N33" s="733"/>
    </row>
    <row r="34" spans="3:14" x14ac:dyDescent="0.2">
      <c r="C34" s="731"/>
      <c r="D34" s="732"/>
      <c r="E34" s="732"/>
      <c r="F34" s="732"/>
      <c r="G34" s="732"/>
      <c r="H34" s="732"/>
      <c r="I34" s="732"/>
      <c r="J34" s="732"/>
      <c r="K34" s="732"/>
      <c r="L34" s="732"/>
      <c r="M34" s="732"/>
      <c r="N34" s="733"/>
    </row>
    <row r="35" spans="3:14" x14ac:dyDescent="0.2">
      <c r="C35" s="731"/>
      <c r="D35" s="732"/>
      <c r="E35" s="732"/>
      <c r="F35" s="732"/>
      <c r="G35" s="732"/>
      <c r="H35" s="732"/>
      <c r="I35" s="732"/>
      <c r="J35" s="732"/>
      <c r="K35" s="732"/>
      <c r="L35" s="732"/>
      <c r="M35" s="732"/>
      <c r="N35" s="733"/>
    </row>
    <row r="36" spans="3:14" x14ac:dyDescent="0.2">
      <c r="C36" s="731"/>
      <c r="D36" s="732"/>
      <c r="E36" s="732"/>
      <c r="F36" s="732"/>
      <c r="G36" s="732"/>
      <c r="H36" s="732"/>
      <c r="I36" s="732"/>
      <c r="J36" s="732"/>
      <c r="K36" s="732"/>
      <c r="L36" s="732"/>
      <c r="M36" s="732"/>
      <c r="N36" s="733"/>
    </row>
    <row r="37" spans="3:14" x14ac:dyDescent="0.2">
      <c r="C37" s="731"/>
      <c r="D37" s="732"/>
      <c r="E37" s="732"/>
      <c r="F37" s="732"/>
      <c r="G37" s="732"/>
      <c r="H37" s="732"/>
      <c r="I37" s="732"/>
      <c r="J37" s="732"/>
      <c r="K37" s="732"/>
      <c r="L37" s="732"/>
      <c r="M37" s="732"/>
      <c r="N37" s="733"/>
    </row>
    <row r="38" spans="3:14" x14ac:dyDescent="0.2">
      <c r="C38" s="731"/>
      <c r="D38" s="732"/>
      <c r="E38" s="732"/>
      <c r="F38" s="732"/>
      <c r="G38" s="732"/>
      <c r="H38" s="732"/>
      <c r="I38" s="732"/>
      <c r="J38" s="732"/>
      <c r="K38" s="732"/>
      <c r="L38" s="732"/>
      <c r="M38" s="732"/>
      <c r="N38" s="733"/>
    </row>
    <row r="39" spans="3:14" x14ac:dyDescent="0.2">
      <c r="C39" s="731"/>
      <c r="D39" s="732"/>
      <c r="E39" s="732"/>
      <c r="F39" s="732"/>
      <c r="G39" s="732"/>
      <c r="H39" s="732"/>
      <c r="I39" s="732"/>
      <c r="J39" s="732"/>
      <c r="K39" s="732"/>
      <c r="L39" s="732"/>
      <c r="M39" s="732"/>
      <c r="N39" s="733"/>
    </row>
    <row r="40" spans="3:14" x14ac:dyDescent="0.2">
      <c r="C40" s="731"/>
      <c r="D40" s="732"/>
      <c r="E40" s="732"/>
      <c r="F40" s="732"/>
      <c r="G40" s="732"/>
      <c r="H40" s="732"/>
      <c r="I40" s="732"/>
      <c r="J40" s="732"/>
      <c r="K40" s="732"/>
      <c r="L40" s="732"/>
      <c r="M40" s="732"/>
      <c r="N40" s="733"/>
    </row>
    <row r="41" spans="3:14" x14ac:dyDescent="0.2">
      <c r="C41" s="731"/>
      <c r="D41" s="732"/>
      <c r="E41" s="732"/>
      <c r="F41" s="732"/>
      <c r="G41" s="732"/>
      <c r="H41" s="732"/>
      <c r="I41" s="732"/>
      <c r="J41" s="732"/>
      <c r="K41" s="732"/>
      <c r="L41" s="732"/>
      <c r="M41" s="732"/>
      <c r="N41" s="733"/>
    </row>
    <row r="42" spans="3:14" x14ac:dyDescent="0.2">
      <c r="C42" s="731"/>
      <c r="D42" s="732"/>
      <c r="E42" s="732"/>
      <c r="F42" s="732"/>
      <c r="G42" s="732"/>
      <c r="H42" s="732"/>
      <c r="I42" s="732"/>
      <c r="J42" s="732"/>
      <c r="K42" s="732"/>
      <c r="L42" s="732"/>
      <c r="M42" s="732"/>
      <c r="N42" s="733"/>
    </row>
    <row r="43" spans="3:14" x14ac:dyDescent="0.2">
      <c r="C43" s="731"/>
      <c r="D43" s="732"/>
      <c r="E43" s="732"/>
      <c r="F43" s="732"/>
      <c r="G43" s="732"/>
      <c r="H43" s="732"/>
      <c r="I43" s="732"/>
      <c r="J43" s="732"/>
      <c r="K43" s="732"/>
      <c r="L43" s="732"/>
      <c r="M43" s="732"/>
      <c r="N43" s="733"/>
    </row>
    <row r="44" spans="3:14" x14ac:dyDescent="0.2">
      <c r="C44" s="731"/>
      <c r="D44" s="732"/>
      <c r="E44" s="732"/>
      <c r="F44" s="732"/>
      <c r="G44" s="732"/>
      <c r="H44" s="732"/>
      <c r="I44" s="732"/>
      <c r="J44" s="732"/>
      <c r="K44" s="732"/>
      <c r="L44" s="732"/>
      <c r="M44" s="732"/>
      <c r="N44" s="733"/>
    </row>
    <row r="45" spans="3:14" x14ac:dyDescent="0.2">
      <c r="C45" s="731"/>
      <c r="D45" s="732"/>
      <c r="E45" s="732"/>
      <c r="F45" s="732"/>
      <c r="G45" s="732"/>
      <c r="H45" s="732"/>
      <c r="I45" s="732"/>
      <c r="J45" s="732"/>
      <c r="K45" s="732"/>
      <c r="L45" s="732"/>
      <c r="M45" s="732"/>
      <c r="N45" s="733"/>
    </row>
    <row r="46" spans="3:14" x14ac:dyDescent="0.2">
      <c r="C46" s="731"/>
      <c r="D46" s="732"/>
      <c r="E46" s="732"/>
      <c r="F46" s="732"/>
      <c r="G46" s="732"/>
      <c r="H46" s="732"/>
      <c r="I46" s="732"/>
      <c r="J46" s="732"/>
      <c r="K46" s="732"/>
      <c r="L46" s="732"/>
      <c r="M46" s="732"/>
      <c r="N46" s="733"/>
    </row>
    <row r="47" spans="3:14" x14ac:dyDescent="0.2">
      <c r="C47" s="731"/>
      <c r="D47" s="732"/>
      <c r="E47" s="732"/>
      <c r="F47" s="732"/>
      <c r="G47" s="732"/>
      <c r="H47" s="732"/>
      <c r="I47" s="732"/>
      <c r="J47" s="732"/>
      <c r="K47" s="732"/>
      <c r="L47" s="732"/>
      <c r="M47" s="732"/>
      <c r="N47" s="733"/>
    </row>
    <row r="48" spans="3:14" x14ac:dyDescent="0.2">
      <c r="C48" s="731"/>
      <c r="D48" s="732"/>
      <c r="E48" s="732"/>
      <c r="F48" s="732"/>
      <c r="G48" s="732"/>
      <c r="H48" s="732"/>
      <c r="I48" s="732"/>
      <c r="J48" s="732"/>
      <c r="K48" s="732"/>
      <c r="L48" s="732"/>
      <c r="M48" s="732"/>
      <c r="N48" s="733"/>
    </row>
    <row r="49" spans="3:14" x14ac:dyDescent="0.2">
      <c r="C49" s="734"/>
      <c r="D49" s="735"/>
      <c r="E49" s="735"/>
      <c r="F49" s="735"/>
      <c r="G49" s="735"/>
      <c r="H49" s="735"/>
      <c r="I49" s="735"/>
      <c r="J49" s="735"/>
      <c r="K49" s="735"/>
      <c r="L49" s="735"/>
      <c r="M49" s="735"/>
      <c r="N49" s="736"/>
    </row>
    <row r="64" spans="3:14" x14ac:dyDescent="0.2">
      <c r="C64" s="276" t="s">
        <v>190</v>
      </c>
    </row>
    <row r="65" spans="4:13" x14ac:dyDescent="0.2">
      <c r="D65" s="276"/>
    </row>
    <row r="66" spans="4:13" x14ac:dyDescent="0.2">
      <c r="D66" s="756" t="s">
        <v>207</v>
      </c>
      <c r="E66" s="756"/>
      <c r="F66" s="756"/>
      <c r="G66" s="756"/>
      <c r="H66" s="756"/>
      <c r="I66" s="756"/>
      <c r="J66" s="756"/>
      <c r="K66" s="756"/>
      <c r="L66" s="756"/>
      <c r="M66" s="756"/>
    </row>
    <row r="67" spans="4:13" ht="17.25" customHeight="1" x14ac:dyDescent="0.2">
      <c r="D67" s="756"/>
      <c r="E67" s="756"/>
      <c r="F67" s="756"/>
      <c r="G67" s="756"/>
      <c r="H67" s="756"/>
      <c r="I67" s="756"/>
      <c r="J67" s="756"/>
      <c r="K67" s="756"/>
      <c r="L67" s="756"/>
      <c r="M67" s="756"/>
    </row>
    <row r="70" spans="4:13" x14ac:dyDescent="0.2">
      <c r="E70" s="757" t="s">
        <v>218</v>
      </c>
      <c r="F70" s="758"/>
      <c r="G70" s="758"/>
      <c r="H70" s="758"/>
      <c r="I70" s="759"/>
    </row>
    <row r="72" spans="4:13" x14ac:dyDescent="0.2">
      <c r="E72" s="678" t="s">
        <v>226</v>
      </c>
      <c r="F72" s="679"/>
      <c r="G72" s="679"/>
      <c r="H72" s="679"/>
      <c r="I72" s="680"/>
    </row>
    <row r="74" spans="4:13" x14ac:dyDescent="0.2">
      <c r="E74" s="760" t="s">
        <v>365</v>
      </c>
      <c r="F74" s="761"/>
      <c r="G74" s="761"/>
      <c r="H74" s="761"/>
      <c r="I74" s="762"/>
    </row>
    <row r="76" spans="4:13" x14ac:dyDescent="0.2">
      <c r="E76" s="672" t="s">
        <v>366</v>
      </c>
      <c r="F76" s="673"/>
      <c r="G76" s="673"/>
      <c r="H76" s="673"/>
      <c r="I76" s="674"/>
    </row>
    <row r="78" spans="4:13" x14ac:dyDescent="0.2">
      <c r="E78" s="672" t="s">
        <v>367</v>
      </c>
      <c r="F78" s="673"/>
      <c r="G78" s="673"/>
      <c r="H78" s="673"/>
      <c r="I78" s="674"/>
    </row>
    <row r="80" spans="4:13" x14ac:dyDescent="0.2">
      <c r="E80" s="672" t="s">
        <v>368</v>
      </c>
      <c r="F80" s="673"/>
      <c r="G80" s="673"/>
      <c r="H80" s="673"/>
      <c r="I80" s="674"/>
    </row>
    <row r="82" spans="5:9" x14ac:dyDescent="0.2">
      <c r="E82" s="684" t="s">
        <v>191</v>
      </c>
      <c r="F82" s="685"/>
      <c r="G82" s="685"/>
      <c r="H82" s="685"/>
      <c r="I82" s="686"/>
    </row>
    <row r="84" spans="5:9" x14ac:dyDescent="0.2">
      <c r="E84" s="684" t="s">
        <v>192</v>
      </c>
      <c r="F84" s="685"/>
      <c r="G84" s="685"/>
      <c r="H84" s="685"/>
      <c r="I84" s="686"/>
    </row>
    <row r="86" spans="5:9" x14ac:dyDescent="0.2">
      <c r="E86" s="684" t="s">
        <v>193</v>
      </c>
      <c r="F86" s="685"/>
      <c r="G86" s="685"/>
      <c r="H86" s="685"/>
      <c r="I86" s="686"/>
    </row>
    <row r="88" spans="5:9" x14ac:dyDescent="0.2">
      <c r="E88" s="684" t="s">
        <v>194</v>
      </c>
      <c r="F88" s="685"/>
      <c r="G88" s="685"/>
      <c r="H88" s="685"/>
      <c r="I88" s="686"/>
    </row>
    <row r="90" spans="5:9" x14ac:dyDescent="0.2">
      <c r="E90" s="681" t="s">
        <v>195</v>
      </c>
      <c r="F90" s="682"/>
      <c r="G90" s="682"/>
      <c r="H90" s="682"/>
      <c r="I90" s="683"/>
    </row>
    <row r="92" spans="5:9" x14ac:dyDescent="0.2">
      <c r="E92" s="681" t="s">
        <v>196</v>
      </c>
      <c r="F92" s="682"/>
      <c r="G92" s="682"/>
      <c r="H92" s="682"/>
      <c r="I92" s="683"/>
    </row>
    <row r="94" spans="5:9" x14ac:dyDescent="0.2">
      <c r="E94" s="681" t="s">
        <v>197</v>
      </c>
      <c r="F94" s="682"/>
      <c r="G94" s="682"/>
      <c r="H94" s="682"/>
      <c r="I94" s="683"/>
    </row>
    <row r="96" spans="5:9" x14ac:dyDescent="0.2">
      <c r="E96" s="681" t="s">
        <v>198</v>
      </c>
      <c r="F96" s="682"/>
      <c r="G96" s="682"/>
      <c r="H96" s="682"/>
      <c r="I96" s="683"/>
    </row>
    <row r="98" spans="5:9" x14ac:dyDescent="0.2">
      <c r="E98" s="675" t="s">
        <v>398</v>
      </c>
      <c r="F98" s="676"/>
      <c r="G98" s="676"/>
      <c r="H98" s="676"/>
      <c r="I98" s="677"/>
    </row>
    <row r="100" spans="5:9" x14ac:dyDescent="0.2">
      <c r="E100" s="675" t="s">
        <v>399</v>
      </c>
      <c r="F100" s="676"/>
      <c r="G100" s="676"/>
      <c r="H100" s="676"/>
      <c r="I100" s="677"/>
    </row>
    <row r="102" spans="5:9" x14ac:dyDescent="0.2">
      <c r="E102" s="678" t="s">
        <v>223</v>
      </c>
      <c r="F102" s="679"/>
      <c r="G102" s="679"/>
      <c r="H102" s="679"/>
      <c r="I102" s="680"/>
    </row>
    <row r="127" spans="3:3" x14ac:dyDescent="0.2">
      <c r="C127" s="276" t="s">
        <v>188</v>
      </c>
    </row>
    <row r="129" spans="3:11" ht="15.75" customHeight="1" x14ac:dyDescent="0.2">
      <c r="C129" s="712" t="s">
        <v>445</v>
      </c>
      <c r="D129" s="712"/>
      <c r="E129" s="712"/>
      <c r="F129" s="712"/>
      <c r="G129" s="712"/>
      <c r="H129" s="712"/>
      <c r="I129" s="712"/>
      <c r="J129" s="712"/>
      <c r="K129" s="712"/>
    </row>
    <row r="130" spans="3:11" ht="12.75" customHeight="1" x14ac:dyDescent="0.2">
      <c r="C130" s="712"/>
      <c r="D130" s="712"/>
      <c r="E130" s="712"/>
      <c r="F130" s="712"/>
      <c r="G130" s="712"/>
      <c r="H130" s="712"/>
      <c r="I130" s="712"/>
      <c r="J130" s="712"/>
      <c r="K130" s="712"/>
    </row>
    <row r="131" spans="3:11" x14ac:dyDescent="0.2">
      <c r="C131" s="712"/>
      <c r="D131" s="712"/>
      <c r="E131" s="712"/>
      <c r="F131" s="712"/>
      <c r="G131" s="712"/>
      <c r="H131" s="712"/>
      <c r="I131" s="712"/>
      <c r="J131" s="712"/>
      <c r="K131" s="712"/>
    </row>
    <row r="133" spans="3:11" x14ac:dyDescent="0.2">
      <c r="C133" s="154"/>
      <c r="D133" s="155"/>
      <c r="E133" s="155"/>
      <c r="F133" s="155"/>
      <c r="G133" s="155"/>
      <c r="H133" s="155"/>
      <c r="I133" s="155"/>
      <c r="J133" s="155"/>
      <c r="K133" s="156"/>
    </row>
    <row r="134" spans="3:11" x14ac:dyDescent="0.2">
      <c r="C134" s="157"/>
      <c r="D134" s="710" t="s">
        <v>94</v>
      </c>
      <c r="E134" s="711"/>
      <c r="F134" s="163"/>
      <c r="G134" s="158" t="s">
        <v>404</v>
      </c>
      <c r="H134" s="163"/>
      <c r="I134" s="163"/>
      <c r="J134" s="163"/>
      <c r="K134" s="160"/>
    </row>
    <row r="135" spans="3:11" x14ac:dyDescent="0.2">
      <c r="C135" s="157"/>
      <c r="D135" s="161"/>
      <c r="F135" s="163"/>
      <c r="G135" s="162"/>
      <c r="H135" s="163"/>
      <c r="I135" s="163"/>
      <c r="J135" s="163"/>
      <c r="K135" s="160"/>
    </row>
    <row r="136" spans="3:11" x14ac:dyDescent="0.2">
      <c r="C136" s="157"/>
      <c r="D136" s="722" t="s">
        <v>95</v>
      </c>
      <c r="E136" s="723"/>
      <c r="F136" s="163"/>
      <c r="G136" s="158" t="s">
        <v>96</v>
      </c>
      <c r="H136" s="163"/>
      <c r="I136" s="163"/>
      <c r="J136" s="163"/>
      <c r="K136" s="160"/>
    </row>
    <row r="137" spans="3:11" x14ac:dyDescent="0.2">
      <c r="C137" s="157"/>
      <c r="D137" s="163"/>
      <c r="F137" s="163"/>
      <c r="G137" s="162"/>
      <c r="H137" s="163"/>
      <c r="I137" s="163"/>
      <c r="J137" s="163"/>
      <c r="K137" s="160"/>
    </row>
    <row r="138" spans="3:11" x14ac:dyDescent="0.2">
      <c r="C138" s="157"/>
      <c r="D138" s="724" t="s">
        <v>97</v>
      </c>
      <c r="E138" s="725"/>
      <c r="F138" s="163"/>
      <c r="G138" s="158" t="s">
        <v>98</v>
      </c>
      <c r="H138" s="163"/>
      <c r="I138" s="163"/>
      <c r="J138" s="163"/>
      <c r="K138" s="160"/>
    </row>
    <row r="139" spans="3:11" x14ac:dyDescent="0.2">
      <c r="C139" s="170"/>
      <c r="D139" s="167"/>
      <c r="F139" s="167"/>
      <c r="G139" s="167"/>
      <c r="H139" s="167"/>
      <c r="I139" s="167"/>
      <c r="J139" s="167"/>
      <c r="K139" s="171"/>
    </row>
    <row r="140" spans="3:11" x14ac:dyDescent="0.2">
      <c r="C140" s="170"/>
      <c r="D140" s="726" t="s">
        <v>148</v>
      </c>
      <c r="E140" s="727"/>
      <c r="F140" s="167"/>
      <c r="G140" s="158" t="s">
        <v>149</v>
      </c>
      <c r="H140" s="167"/>
      <c r="I140" s="167"/>
      <c r="J140" s="167"/>
      <c r="K140" s="171"/>
    </row>
    <row r="141" spans="3:11" x14ac:dyDescent="0.2">
      <c r="C141" s="170"/>
      <c r="D141" s="167"/>
      <c r="F141" s="167"/>
      <c r="G141" s="167"/>
      <c r="H141" s="167"/>
      <c r="I141" s="167"/>
      <c r="J141" s="167"/>
      <c r="K141" s="171"/>
    </row>
    <row r="142" spans="3:11" x14ac:dyDescent="0.2">
      <c r="C142" s="170"/>
      <c r="D142" s="740" t="s">
        <v>150</v>
      </c>
      <c r="E142" s="741"/>
      <c r="F142" s="167"/>
      <c r="G142" s="158" t="s">
        <v>151</v>
      </c>
      <c r="H142" s="167"/>
      <c r="I142" s="167"/>
      <c r="J142" s="167"/>
      <c r="K142" s="171"/>
    </row>
    <row r="143" spans="3:11" x14ac:dyDescent="0.2">
      <c r="C143" s="170"/>
      <c r="K143" s="171"/>
    </row>
    <row r="144" spans="3:11" x14ac:dyDescent="0.2">
      <c r="C144" s="170"/>
      <c r="D144" s="738" t="s">
        <v>431</v>
      </c>
      <c r="E144" s="739"/>
      <c r="G144" s="158" t="s">
        <v>444</v>
      </c>
      <c r="K144" s="171"/>
    </row>
    <row r="145" spans="3:11" x14ac:dyDescent="0.2">
      <c r="C145" s="164"/>
      <c r="D145" s="165"/>
      <c r="E145" s="165"/>
      <c r="F145" s="165"/>
      <c r="G145" s="165"/>
      <c r="H145" s="165"/>
      <c r="I145" s="165"/>
      <c r="J145" s="165"/>
      <c r="K145" s="166"/>
    </row>
    <row r="146" spans="3:11" x14ac:dyDescent="0.2">
      <c r="C146" s="163"/>
      <c r="D146" s="163"/>
      <c r="E146" s="163"/>
      <c r="F146" s="163"/>
      <c r="G146" s="163"/>
      <c r="H146" s="163"/>
      <c r="I146" s="163"/>
      <c r="J146" s="163"/>
      <c r="K146" s="163"/>
    </row>
    <row r="147" spans="3:11" x14ac:dyDescent="0.2">
      <c r="C147" s="163"/>
      <c r="D147" s="163"/>
      <c r="E147" s="163"/>
      <c r="F147" s="163"/>
      <c r="G147" s="163"/>
      <c r="H147" s="163"/>
      <c r="I147" s="163"/>
      <c r="J147" s="163"/>
      <c r="K147" s="163"/>
    </row>
    <row r="148" spans="3:11" x14ac:dyDescent="0.2">
      <c r="C148" s="163"/>
      <c r="D148" s="163"/>
      <c r="E148" s="163"/>
      <c r="F148" s="163"/>
      <c r="G148" s="163"/>
      <c r="H148" s="163"/>
      <c r="I148" s="163"/>
      <c r="J148" s="163"/>
      <c r="K148" s="163"/>
    </row>
    <row r="149" spans="3:11" x14ac:dyDescent="0.2">
      <c r="C149" s="163"/>
      <c r="D149" s="163"/>
      <c r="E149" s="163"/>
      <c r="F149" s="163"/>
      <c r="G149" s="163"/>
      <c r="H149" s="163"/>
      <c r="I149" s="163"/>
      <c r="J149" s="163"/>
      <c r="K149" s="163"/>
    </row>
    <row r="150" spans="3:11" x14ac:dyDescent="0.2">
      <c r="C150" s="163"/>
      <c r="D150" s="163"/>
      <c r="E150" s="163"/>
      <c r="F150" s="163"/>
      <c r="G150" s="163"/>
      <c r="H150" s="163"/>
      <c r="I150" s="163"/>
      <c r="J150" s="163"/>
      <c r="K150" s="163"/>
    </row>
    <row r="151" spans="3:11" x14ac:dyDescent="0.2">
      <c r="C151" s="163"/>
      <c r="D151" s="163"/>
      <c r="E151" s="163"/>
      <c r="F151" s="163"/>
      <c r="G151" s="163"/>
      <c r="H151" s="163"/>
      <c r="I151" s="163"/>
      <c r="J151" s="163"/>
      <c r="K151" s="163"/>
    </row>
    <row r="152" spans="3:11" x14ac:dyDescent="0.2">
      <c r="C152" s="163"/>
      <c r="D152" s="163"/>
      <c r="E152" s="163"/>
      <c r="F152" s="163"/>
      <c r="G152" s="163"/>
      <c r="H152" s="163"/>
      <c r="I152" s="163"/>
      <c r="J152" s="163"/>
      <c r="K152" s="163"/>
    </row>
    <row r="153" spans="3:11" x14ac:dyDescent="0.2">
      <c r="C153" s="163"/>
      <c r="D153" s="163"/>
      <c r="E153" s="163"/>
      <c r="F153" s="163"/>
      <c r="G153" s="163"/>
      <c r="H153" s="163"/>
      <c r="I153" s="163"/>
      <c r="J153" s="163"/>
      <c r="K153" s="163"/>
    </row>
    <row r="154" spans="3:11" x14ac:dyDescent="0.2">
      <c r="C154" s="163"/>
      <c r="D154" s="163"/>
      <c r="E154" s="163"/>
      <c r="F154" s="163"/>
      <c r="G154" s="163"/>
      <c r="H154" s="163"/>
      <c r="I154" s="163"/>
      <c r="J154" s="163"/>
      <c r="K154" s="163"/>
    </row>
    <row r="155" spans="3:11" x14ac:dyDescent="0.2">
      <c r="C155" s="163"/>
      <c r="D155" s="163"/>
      <c r="E155" s="163"/>
      <c r="F155" s="163"/>
      <c r="G155" s="163"/>
      <c r="H155" s="163"/>
      <c r="I155" s="163"/>
      <c r="J155" s="163"/>
      <c r="K155" s="163"/>
    </row>
    <row r="156" spans="3:11" x14ac:dyDescent="0.2">
      <c r="C156" s="163"/>
      <c r="D156" s="163"/>
      <c r="E156" s="163"/>
      <c r="F156" s="163"/>
      <c r="G156" s="163"/>
      <c r="H156" s="163"/>
      <c r="I156" s="163"/>
      <c r="J156" s="163"/>
      <c r="K156" s="163"/>
    </row>
    <row r="157" spans="3:11" x14ac:dyDescent="0.2">
      <c r="C157" s="163"/>
      <c r="D157" s="163"/>
      <c r="E157" s="163"/>
      <c r="F157" s="163"/>
      <c r="G157" s="163"/>
      <c r="H157" s="163"/>
      <c r="I157" s="163"/>
      <c r="J157" s="163"/>
      <c r="K157" s="163"/>
    </row>
    <row r="158" spans="3:11" x14ac:dyDescent="0.2">
      <c r="C158" s="163"/>
      <c r="D158" s="163"/>
      <c r="E158" s="163"/>
      <c r="F158" s="163"/>
      <c r="G158" s="163"/>
      <c r="H158" s="163"/>
      <c r="I158" s="163"/>
      <c r="J158" s="163"/>
      <c r="K158" s="163"/>
    </row>
    <row r="159" spans="3:11" x14ac:dyDescent="0.2">
      <c r="C159" s="163"/>
      <c r="D159" s="163"/>
      <c r="E159" s="163"/>
      <c r="F159" s="163"/>
      <c r="G159" s="163"/>
      <c r="H159" s="163"/>
      <c r="I159" s="163"/>
      <c r="J159" s="163"/>
      <c r="K159" s="163"/>
    </row>
    <row r="160" spans="3:11" x14ac:dyDescent="0.2">
      <c r="C160" s="163"/>
      <c r="D160" s="163"/>
      <c r="E160" s="163"/>
      <c r="F160" s="163"/>
      <c r="G160" s="163"/>
      <c r="H160" s="163"/>
      <c r="I160" s="163"/>
      <c r="J160" s="163"/>
      <c r="K160" s="163"/>
    </row>
    <row r="161" spans="3:11" x14ac:dyDescent="0.2">
      <c r="C161" s="163"/>
      <c r="D161" s="163"/>
      <c r="E161" s="163"/>
      <c r="F161" s="163"/>
      <c r="G161" s="163"/>
      <c r="H161" s="163"/>
      <c r="I161" s="163"/>
      <c r="J161" s="163"/>
      <c r="K161" s="163"/>
    </row>
    <row r="162" spans="3:11" x14ac:dyDescent="0.2">
      <c r="C162" s="163"/>
      <c r="D162" s="163"/>
      <c r="E162" s="163"/>
      <c r="F162" s="163"/>
      <c r="G162" s="163"/>
      <c r="H162" s="163"/>
      <c r="I162" s="163"/>
      <c r="J162" s="163"/>
      <c r="K162" s="163"/>
    </row>
    <row r="163" spans="3:11" x14ac:dyDescent="0.2">
      <c r="C163" s="163"/>
      <c r="D163" s="163"/>
      <c r="E163" s="163"/>
      <c r="F163" s="163"/>
      <c r="G163" s="163"/>
      <c r="H163" s="163"/>
      <c r="I163" s="163"/>
      <c r="J163" s="163"/>
      <c r="K163" s="163"/>
    </row>
    <row r="164" spans="3:11" x14ac:dyDescent="0.2">
      <c r="C164" s="163"/>
      <c r="D164" s="163"/>
      <c r="E164" s="163"/>
      <c r="F164" s="163"/>
      <c r="G164" s="163"/>
      <c r="H164" s="163"/>
      <c r="I164" s="163"/>
      <c r="J164" s="163"/>
      <c r="K164" s="163"/>
    </row>
    <row r="165" spans="3:11" x14ac:dyDescent="0.2">
      <c r="C165" s="163"/>
      <c r="D165" s="163"/>
      <c r="E165" s="163"/>
      <c r="F165" s="163"/>
      <c r="G165" s="163"/>
      <c r="H165" s="163"/>
      <c r="I165" s="163"/>
      <c r="J165" s="163"/>
      <c r="K165" s="163"/>
    </row>
    <row r="166" spans="3:11" x14ac:dyDescent="0.2">
      <c r="C166" s="163"/>
      <c r="D166" s="163"/>
      <c r="E166" s="163"/>
      <c r="F166" s="163"/>
      <c r="G166" s="163"/>
      <c r="H166" s="163"/>
      <c r="I166" s="163"/>
      <c r="J166" s="163"/>
      <c r="K166" s="163"/>
    </row>
    <row r="167" spans="3:11" x14ac:dyDescent="0.2">
      <c r="C167" s="163"/>
      <c r="D167" s="163"/>
      <c r="E167" s="163"/>
      <c r="F167" s="163"/>
      <c r="G167" s="163"/>
      <c r="H167" s="163"/>
      <c r="I167" s="163"/>
      <c r="J167" s="163"/>
      <c r="K167" s="163"/>
    </row>
    <row r="168" spans="3:11" x14ac:dyDescent="0.2">
      <c r="C168" s="163"/>
      <c r="D168" s="163"/>
      <c r="E168" s="163"/>
      <c r="F168" s="163"/>
      <c r="G168" s="163"/>
      <c r="H168" s="163"/>
      <c r="I168" s="163"/>
      <c r="J168" s="163"/>
      <c r="K168" s="163"/>
    </row>
    <row r="169" spans="3:11" x14ac:dyDescent="0.2">
      <c r="C169" s="163"/>
      <c r="D169" s="163"/>
      <c r="E169" s="163"/>
      <c r="F169" s="163"/>
      <c r="G169" s="163"/>
      <c r="H169" s="163"/>
      <c r="I169" s="163"/>
      <c r="J169" s="163"/>
      <c r="K169" s="163"/>
    </row>
    <row r="170" spans="3:11" x14ac:dyDescent="0.2">
      <c r="C170" s="163"/>
      <c r="D170" s="163"/>
      <c r="E170" s="163"/>
      <c r="F170" s="163"/>
      <c r="G170" s="163"/>
      <c r="H170" s="163"/>
      <c r="I170" s="163"/>
      <c r="J170" s="163"/>
      <c r="K170" s="163"/>
    </row>
    <row r="171" spans="3:11" x14ac:dyDescent="0.2">
      <c r="C171" s="163"/>
      <c r="D171" s="163"/>
      <c r="E171" s="163"/>
      <c r="F171" s="163"/>
      <c r="G171" s="163"/>
      <c r="H171" s="163"/>
      <c r="I171" s="163"/>
      <c r="J171" s="163"/>
      <c r="K171" s="163"/>
    </row>
    <row r="172" spans="3:11" x14ac:dyDescent="0.2">
      <c r="C172" s="163"/>
      <c r="D172" s="163"/>
      <c r="E172" s="163"/>
      <c r="F172" s="163"/>
      <c r="G172" s="163"/>
      <c r="H172" s="163"/>
      <c r="I172" s="163"/>
      <c r="J172" s="163"/>
      <c r="K172" s="163"/>
    </row>
    <row r="173" spans="3:11" x14ac:dyDescent="0.2">
      <c r="C173" s="163"/>
      <c r="D173" s="163"/>
      <c r="E173" s="163"/>
      <c r="F173" s="163"/>
      <c r="G173" s="163"/>
      <c r="H173" s="163"/>
      <c r="I173" s="163"/>
      <c r="J173" s="163"/>
      <c r="K173" s="163"/>
    </row>
    <row r="174" spans="3:11" x14ac:dyDescent="0.2">
      <c r="C174" s="163"/>
      <c r="D174" s="163"/>
      <c r="E174" s="163"/>
      <c r="F174" s="163"/>
      <c r="G174" s="163"/>
      <c r="H174" s="163"/>
      <c r="I174" s="163"/>
      <c r="J174" s="163"/>
      <c r="K174" s="163"/>
    </row>
    <row r="175" spans="3:11" x14ac:dyDescent="0.2">
      <c r="C175" s="163"/>
      <c r="D175" s="163"/>
      <c r="E175" s="163"/>
      <c r="F175" s="163"/>
      <c r="G175" s="163"/>
      <c r="H175" s="163"/>
      <c r="I175" s="163"/>
      <c r="J175" s="163"/>
      <c r="K175" s="163"/>
    </row>
    <row r="176" spans="3:11" x14ac:dyDescent="0.2">
      <c r="C176" s="163"/>
      <c r="D176" s="163"/>
      <c r="E176" s="163"/>
      <c r="F176" s="163"/>
      <c r="G176" s="163"/>
      <c r="H176" s="163"/>
      <c r="I176" s="163"/>
      <c r="J176" s="163"/>
      <c r="K176" s="163"/>
    </row>
    <row r="177" spans="3:11" x14ac:dyDescent="0.2">
      <c r="C177" s="163"/>
      <c r="D177" s="163"/>
      <c r="E177" s="163"/>
      <c r="F177" s="163"/>
      <c r="G177" s="163"/>
      <c r="H177" s="163"/>
      <c r="I177" s="163"/>
      <c r="J177" s="163"/>
      <c r="K177" s="163"/>
    </row>
    <row r="178" spans="3:11" x14ac:dyDescent="0.2">
      <c r="C178" s="163"/>
      <c r="D178" s="163"/>
      <c r="E178" s="163"/>
      <c r="F178" s="163"/>
      <c r="G178" s="163"/>
      <c r="H178" s="163"/>
      <c r="I178" s="163"/>
      <c r="J178" s="163"/>
      <c r="K178" s="163"/>
    </row>
    <row r="179" spans="3:11" x14ac:dyDescent="0.2">
      <c r="C179" s="163"/>
      <c r="D179" s="163"/>
      <c r="E179" s="163"/>
      <c r="F179" s="163"/>
      <c r="G179" s="163"/>
      <c r="H179" s="163"/>
      <c r="I179" s="163"/>
      <c r="J179" s="163"/>
      <c r="K179" s="163"/>
    </row>
    <row r="180" spans="3:11" x14ac:dyDescent="0.2">
      <c r="C180" s="163"/>
      <c r="D180" s="163"/>
      <c r="E180" s="163"/>
      <c r="F180" s="163"/>
      <c r="G180" s="163"/>
      <c r="H180" s="163"/>
      <c r="I180" s="163"/>
      <c r="J180" s="163"/>
      <c r="K180" s="163"/>
    </row>
    <row r="181" spans="3:11" x14ac:dyDescent="0.2">
      <c r="C181" s="163"/>
      <c r="D181" s="163"/>
      <c r="E181" s="163"/>
      <c r="F181" s="163"/>
      <c r="G181" s="163"/>
      <c r="H181" s="163"/>
      <c r="I181" s="163"/>
      <c r="J181" s="163"/>
      <c r="K181" s="163"/>
    </row>
    <row r="182" spans="3:11" x14ac:dyDescent="0.2">
      <c r="C182" s="163"/>
      <c r="D182" s="163"/>
      <c r="E182" s="163"/>
      <c r="F182" s="163"/>
      <c r="G182" s="163"/>
      <c r="H182" s="163"/>
      <c r="I182" s="163"/>
      <c r="J182" s="163"/>
      <c r="K182" s="163"/>
    </row>
    <row r="183" spans="3:11" x14ac:dyDescent="0.2">
      <c r="C183" s="163"/>
      <c r="D183" s="163"/>
      <c r="E183" s="163"/>
      <c r="F183" s="163"/>
      <c r="G183" s="163"/>
      <c r="H183" s="163"/>
      <c r="I183" s="163"/>
      <c r="J183" s="163"/>
      <c r="K183" s="163"/>
    </row>
    <row r="184" spans="3:11" x14ac:dyDescent="0.2">
      <c r="C184" s="163"/>
      <c r="D184" s="163"/>
      <c r="E184" s="163"/>
      <c r="F184" s="163"/>
      <c r="G184" s="163"/>
      <c r="H184" s="163"/>
      <c r="I184" s="163"/>
      <c r="J184" s="163"/>
      <c r="K184" s="163"/>
    </row>
    <row r="185" spans="3:11" x14ac:dyDescent="0.2">
      <c r="C185" s="163"/>
      <c r="D185" s="163"/>
      <c r="E185" s="163"/>
      <c r="F185" s="163"/>
      <c r="G185" s="163"/>
      <c r="H185" s="163"/>
      <c r="I185" s="163"/>
      <c r="J185" s="163"/>
      <c r="K185" s="163"/>
    </row>
    <row r="186" spans="3:11" x14ac:dyDescent="0.2">
      <c r="C186" s="163"/>
      <c r="D186" s="163"/>
      <c r="E186" s="163"/>
      <c r="F186" s="163"/>
      <c r="G186" s="163"/>
      <c r="H186" s="163"/>
      <c r="I186" s="163"/>
      <c r="J186" s="163"/>
      <c r="K186" s="163"/>
    </row>
    <row r="187" spans="3:11" x14ac:dyDescent="0.2">
      <c r="C187" s="163"/>
      <c r="D187" s="163"/>
      <c r="E187" s="163"/>
      <c r="F187" s="163"/>
      <c r="G187" s="163"/>
      <c r="H187" s="163"/>
      <c r="I187" s="163"/>
      <c r="J187" s="163"/>
      <c r="K187" s="163"/>
    </row>
    <row r="188" spans="3:11" x14ac:dyDescent="0.2">
      <c r="C188" s="163"/>
      <c r="D188" s="163"/>
      <c r="E188" s="163"/>
      <c r="F188" s="163"/>
      <c r="G188" s="163"/>
      <c r="H188" s="163"/>
      <c r="I188" s="163"/>
      <c r="J188" s="163"/>
      <c r="K188" s="163"/>
    </row>
    <row r="189" spans="3:11" x14ac:dyDescent="0.2">
      <c r="C189" s="163"/>
      <c r="D189" s="163"/>
      <c r="E189" s="163"/>
      <c r="F189" s="163"/>
      <c r="G189" s="163"/>
      <c r="H189" s="163"/>
      <c r="I189" s="163"/>
      <c r="J189" s="163"/>
      <c r="K189" s="163"/>
    </row>
    <row r="190" spans="3:11" x14ac:dyDescent="0.2">
      <c r="C190" s="163"/>
      <c r="D190" s="163"/>
      <c r="E190" s="163"/>
      <c r="F190" s="163"/>
      <c r="G190" s="163"/>
      <c r="H190" s="163"/>
      <c r="I190" s="163"/>
      <c r="J190" s="163"/>
      <c r="K190" s="163"/>
    </row>
    <row r="191" spans="3:11" x14ac:dyDescent="0.2">
      <c r="C191" s="276" t="s">
        <v>186</v>
      </c>
    </row>
    <row r="193" spans="3:14" x14ac:dyDescent="0.2">
      <c r="H193" s="159"/>
    </row>
    <row r="194" spans="3:14" ht="12.75" customHeight="1" x14ac:dyDescent="0.2">
      <c r="C194" s="713" t="s">
        <v>466</v>
      </c>
      <c r="D194" s="714"/>
      <c r="E194" s="714"/>
      <c r="F194" s="714"/>
      <c r="G194" s="714"/>
      <c r="H194" s="714"/>
      <c r="I194" s="714"/>
      <c r="J194" s="714"/>
      <c r="K194" s="714"/>
      <c r="L194" s="714"/>
      <c r="M194" s="714"/>
      <c r="N194" s="715"/>
    </row>
    <row r="195" spans="3:14" x14ac:dyDescent="0.2">
      <c r="C195" s="716"/>
      <c r="D195" s="717"/>
      <c r="E195" s="717"/>
      <c r="F195" s="717"/>
      <c r="G195" s="717"/>
      <c r="H195" s="717"/>
      <c r="I195" s="717"/>
      <c r="J195" s="717"/>
      <c r="K195" s="717"/>
      <c r="L195" s="717"/>
      <c r="M195" s="717"/>
      <c r="N195" s="718"/>
    </row>
    <row r="196" spans="3:14" x14ac:dyDescent="0.2">
      <c r="C196" s="716"/>
      <c r="D196" s="717"/>
      <c r="E196" s="717"/>
      <c r="F196" s="717"/>
      <c r="G196" s="717"/>
      <c r="H196" s="717"/>
      <c r="I196" s="717"/>
      <c r="J196" s="717"/>
      <c r="K196" s="717"/>
      <c r="L196" s="717"/>
      <c r="M196" s="717"/>
      <c r="N196" s="718"/>
    </row>
    <row r="197" spans="3:14" x14ac:dyDescent="0.2">
      <c r="C197" s="716"/>
      <c r="D197" s="717"/>
      <c r="E197" s="717"/>
      <c r="F197" s="717"/>
      <c r="G197" s="717"/>
      <c r="H197" s="717"/>
      <c r="I197" s="717"/>
      <c r="J197" s="717"/>
      <c r="K197" s="717"/>
      <c r="L197" s="717"/>
      <c r="M197" s="717"/>
      <c r="N197" s="718"/>
    </row>
    <row r="198" spans="3:14" x14ac:dyDescent="0.2">
      <c r="C198" s="716"/>
      <c r="D198" s="717"/>
      <c r="E198" s="717"/>
      <c r="F198" s="717"/>
      <c r="G198" s="717"/>
      <c r="H198" s="717"/>
      <c r="I198" s="717"/>
      <c r="J198" s="717"/>
      <c r="K198" s="717"/>
      <c r="L198" s="717"/>
      <c r="M198" s="717"/>
      <c r="N198" s="718"/>
    </row>
    <row r="199" spans="3:14" x14ac:dyDescent="0.2">
      <c r="C199" s="716"/>
      <c r="D199" s="717"/>
      <c r="E199" s="717"/>
      <c r="F199" s="717"/>
      <c r="G199" s="717"/>
      <c r="H199" s="717"/>
      <c r="I199" s="717"/>
      <c r="J199" s="717"/>
      <c r="K199" s="717"/>
      <c r="L199" s="717"/>
      <c r="M199" s="717"/>
      <c r="N199" s="718"/>
    </row>
    <row r="200" spans="3:14" x14ac:dyDescent="0.2">
      <c r="C200" s="716"/>
      <c r="D200" s="717"/>
      <c r="E200" s="717"/>
      <c r="F200" s="717"/>
      <c r="G200" s="717"/>
      <c r="H200" s="717"/>
      <c r="I200" s="717"/>
      <c r="J200" s="717"/>
      <c r="K200" s="717"/>
      <c r="L200" s="717"/>
      <c r="M200" s="717"/>
      <c r="N200" s="718"/>
    </row>
    <row r="201" spans="3:14" x14ac:dyDescent="0.2">
      <c r="C201" s="716"/>
      <c r="D201" s="717"/>
      <c r="E201" s="717"/>
      <c r="F201" s="717"/>
      <c r="G201" s="717"/>
      <c r="H201" s="717"/>
      <c r="I201" s="717"/>
      <c r="J201" s="717"/>
      <c r="K201" s="717"/>
      <c r="L201" s="717"/>
      <c r="M201" s="717"/>
      <c r="N201" s="718"/>
    </row>
    <row r="202" spans="3:14" x14ac:dyDescent="0.2">
      <c r="C202" s="716"/>
      <c r="D202" s="717"/>
      <c r="E202" s="717"/>
      <c r="F202" s="717"/>
      <c r="G202" s="717"/>
      <c r="H202" s="717"/>
      <c r="I202" s="717"/>
      <c r="J202" s="717"/>
      <c r="K202" s="717"/>
      <c r="L202" s="717"/>
      <c r="M202" s="717"/>
      <c r="N202" s="718"/>
    </row>
    <row r="203" spans="3:14" x14ac:dyDescent="0.2">
      <c r="C203" s="716"/>
      <c r="D203" s="717"/>
      <c r="E203" s="717"/>
      <c r="F203" s="717"/>
      <c r="G203" s="717"/>
      <c r="H203" s="717"/>
      <c r="I203" s="717"/>
      <c r="J203" s="717"/>
      <c r="K203" s="717"/>
      <c r="L203" s="717"/>
      <c r="M203" s="717"/>
      <c r="N203" s="718"/>
    </row>
    <row r="204" spans="3:14" x14ac:dyDescent="0.2">
      <c r="C204" s="716"/>
      <c r="D204" s="717"/>
      <c r="E204" s="717"/>
      <c r="F204" s="717"/>
      <c r="G204" s="717"/>
      <c r="H204" s="717"/>
      <c r="I204" s="717"/>
      <c r="J204" s="717"/>
      <c r="K204" s="717"/>
      <c r="L204" s="717"/>
      <c r="M204" s="717"/>
      <c r="N204" s="718"/>
    </row>
    <row r="205" spans="3:14" x14ac:dyDescent="0.2">
      <c r="C205" s="716"/>
      <c r="D205" s="717"/>
      <c r="E205" s="717"/>
      <c r="F205" s="717"/>
      <c r="G205" s="717"/>
      <c r="H205" s="717"/>
      <c r="I205" s="717"/>
      <c r="J205" s="717"/>
      <c r="K205" s="717"/>
      <c r="L205" s="717"/>
      <c r="M205" s="717"/>
      <c r="N205" s="718"/>
    </row>
    <row r="206" spans="3:14" x14ac:dyDescent="0.2">
      <c r="C206" s="716"/>
      <c r="D206" s="717"/>
      <c r="E206" s="717"/>
      <c r="F206" s="717"/>
      <c r="G206" s="717"/>
      <c r="H206" s="717"/>
      <c r="I206" s="717"/>
      <c r="J206" s="717"/>
      <c r="K206" s="717"/>
      <c r="L206" s="717"/>
      <c r="M206" s="717"/>
      <c r="N206" s="718"/>
    </row>
    <row r="207" spans="3:14" x14ac:dyDescent="0.2">
      <c r="C207" s="716"/>
      <c r="D207" s="717"/>
      <c r="E207" s="717"/>
      <c r="F207" s="717"/>
      <c r="G207" s="717"/>
      <c r="H207" s="717"/>
      <c r="I207" s="717"/>
      <c r="J207" s="717"/>
      <c r="K207" s="717"/>
      <c r="L207" s="717"/>
      <c r="M207" s="717"/>
      <c r="N207" s="718"/>
    </row>
    <row r="208" spans="3:14" x14ac:dyDescent="0.2">
      <c r="C208" s="716"/>
      <c r="D208" s="717"/>
      <c r="E208" s="717"/>
      <c r="F208" s="717"/>
      <c r="G208" s="717"/>
      <c r="H208" s="717"/>
      <c r="I208" s="717"/>
      <c r="J208" s="717"/>
      <c r="K208" s="717"/>
      <c r="L208" s="717"/>
      <c r="M208" s="717"/>
      <c r="N208" s="718"/>
    </row>
    <row r="209" spans="3:14" x14ac:dyDescent="0.2">
      <c r="C209" s="716"/>
      <c r="D209" s="717"/>
      <c r="E209" s="717"/>
      <c r="F209" s="717"/>
      <c r="G209" s="717"/>
      <c r="H209" s="717"/>
      <c r="I209" s="717"/>
      <c r="J209" s="717"/>
      <c r="K209" s="717"/>
      <c r="L209" s="717"/>
      <c r="M209" s="717"/>
      <c r="N209" s="718"/>
    </row>
    <row r="210" spans="3:14" x14ac:dyDescent="0.2">
      <c r="C210" s="716"/>
      <c r="D210" s="717"/>
      <c r="E210" s="717"/>
      <c r="F210" s="717"/>
      <c r="G210" s="717"/>
      <c r="H210" s="717"/>
      <c r="I210" s="717"/>
      <c r="J210" s="717"/>
      <c r="K210" s="717"/>
      <c r="L210" s="717"/>
      <c r="M210" s="717"/>
      <c r="N210" s="718"/>
    </row>
    <row r="211" spans="3:14" x14ac:dyDescent="0.2">
      <c r="C211" s="716"/>
      <c r="D211" s="717"/>
      <c r="E211" s="717"/>
      <c r="F211" s="717"/>
      <c r="G211" s="717"/>
      <c r="H211" s="717"/>
      <c r="I211" s="717"/>
      <c r="J211" s="717"/>
      <c r="K211" s="717"/>
      <c r="L211" s="717"/>
      <c r="M211" s="717"/>
      <c r="N211" s="718"/>
    </row>
    <row r="212" spans="3:14" x14ac:dyDescent="0.2">
      <c r="C212" s="716"/>
      <c r="D212" s="717"/>
      <c r="E212" s="717"/>
      <c r="F212" s="717"/>
      <c r="G212" s="717"/>
      <c r="H212" s="717"/>
      <c r="I212" s="717"/>
      <c r="J212" s="717"/>
      <c r="K212" s="717"/>
      <c r="L212" s="717"/>
      <c r="M212" s="717"/>
      <c r="N212" s="718"/>
    </row>
    <row r="213" spans="3:14" x14ac:dyDescent="0.2">
      <c r="C213" s="716"/>
      <c r="D213" s="717"/>
      <c r="E213" s="717"/>
      <c r="F213" s="717"/>
      <c r="G213" s="717"/>
      <c r="H213" s="717"/>
      <c r="I213" s="717"/>
      <c r="J213" s="717"/>
      <c r="K213" s="717"/>
      <c r="L213" s="717"/>
      <c r="M213" s="717"/>
      <c r="N213" s="718"/>
    </row>
    <row r="214" spans="3:14" x14ac:dyDescent="0.2">
      <c r="C214" s="716"/>
      <c r="D214" s="717"/>
      <c r="E214" s="717"/>
      <c r="F214" s="717"/>
      <c r="G214" s="717"/>
      <c r="H214" s="717"/>
      <c r="I214" s="717"/>
      <c r="J214" s="717"/>
      <c r="K214" s="717"/>
      <c r="L214" s="717"/>
      <c r="M214" s="717"/>
      <c r="N214" s="718"/>
    </row>
    <row r="215" spans="3:14" x14ac:dyDescent="0.2">
      <c r="C215" s="716"/>
      <c r="D215" s="717"/>
      <c r="E215" s="717"/>
      <c r="F215" s="717"/>
      <c r="G215" s="717"/>
      <c r="H215" s="717"/>
      <c r="I215" s="717"/>
      <c r="J215" s="717"/>
      <c r="K215" s="717"/>
      <c r="L215" s="717"/>
      <c r="M215" s="717"/>
      <c r="N215" s="718"/>
    </row>
    <row r="216" spans="3:14" x14ac:dyDescent="0.2">
      <c r="C216" s="716"/>
      <c r="D216" s="717"/>
      <c r="E216" s="717"/>
      <c r="F216" s="717"/>
      <c r="G216" s="717"/>
      <c r="H216" s="717"/>
      <c r="I216" s="717"/>
      <c r="J216" s="717"/>
      <c r="K216" s="717"/>
      <c r="L216" s="717"/>
      <c r="M216" s="717"/>
      <c r="N216" s="718"/>
    </row>
    <row r="217" spans="3:14" x14ac:dyDescent="0.2">
      <c r="C217" s="716"/>
      <c r="D217" s="717"/>
      <c r="E217" s="717"/>
      <c r="F217" s="717"/>
      <c r="G217" s="717"/>
      <c r="H217" s="717"/>
      <c r="I217" s="717"/>
      <c r="J217" s="717"/>
      <c r="K217" s="717"/>
      <c r="L217" s="717"/>
      <c r="M217" s="717"/>
      <c r="N217" s="718"/>
    </row>
    <row r="218" spans="3:14" x14ac:dyDescent="0.2">
      <c r="C218" s="716"/>
      <c r="D218" s="717"/>
      <c r="E218" s="717"/>
      <c r="F218" s="717"/>
      <c r="G218" s="717"/>
      <c r="H218" s="717"/>
      <c r="I218" s="717"/>
      <c r="J218" s="717"/>
      <c r="K218" s="717"/>
      <c r="L218" s="717"/>
      <c r="M218" s="717"/>
      <c r="N218" s="718"/>
    </row>
    <row r="219" spans="3:14" x14ac:dyDescent="0.2">
      <c r="C219" s="716"/>
      <c r="D219" s="717"/>
      <c r="E219" s="717"/>
      <c r="F219" s="717"/>
      <c r="G219" s="717"/>
      <c r="H219" s="717"/>
      <c r="I219" s="717"/>
      <c r="J219" s="717"/>
      <c r="K219" s="717"/>
      <c r="L219" s="717"/>
      <c r="M219" s="717"/>
      <c r="N219" s="718"/>
    </row>
    <row r="220" spans="3:14" x14ac:dyDescent="0.2">
      <c r="C220" s="716"/>
      <c r="D220" s="717"/>
      <c r="E220" s="717"/>
      <c r="F220" s="717"/>
      <c r="G220" s="717"/>
      <c r="H220" s="717"/>
      <c r="I220" s="717"/>
      <c r="J220" s="717"/>
      <c r="K220" s="717"/>
      <c r="L220" s="717"/>
      <c r="M220" s="717"/>
      <c r="N220" s="718"/>
    </row>
    <row r="221" spans="3:14" x14ac:dyDescent="0.2">
      <c r="C221" s="716"/>
      <c r="D221" s="717"/>
      <c r="E221" s="717"/>
      <c r="F221" s="717"/>
      <c r="G221" s="717"/>
      <c r="H221" s="717"/>
      <c r="I221" s="717"/>
      <c r="J221" s="717"/>
      <c r="K221" s="717"/>
      <c r="L221" s="717"/>
      <c r="M221" s="717"/>
      <c r="N221" s="718"/>
    </row>
    <row r="222" spans="3:14" x14ac:dyDescent="0.2">
      <c r="C222" s="716"/>
      <c r="D222" s="717"/>
      <c r="E222" s="717"/>
      <c r="F222" s="717"/>
      <c r="G222" s="717"/>
      <c r="H222" s="717"/>
      <c r="I222" s="717"/>
      <c r="J222" s="717"/>
      <c r="K222" s="717"/>
      <c r="L222" s="717"/>
      <c r="M222" s="717"/>
      <c r="N222" s="718"/>
    </row>
    <row r="223" spans="3:14" x14ac:dyDescent="0.2">
      <c r="C223" s="716"/>
      <c r="D223" s="717"/>
      <c r="E223" s="717"/>
      <c r="F223" s="717"/>
      <c r="G223" s="717"/>
      <c r="H223" s="717"/>
      <c r="I223" s="717"/>
      <c r="J223" s="717"/>
      <c r="K223" s="717"/>
      <c r="L223" s="717"/>
      <c r="M223" s="717"/>
      <c r="N223" s="718"/>
    </row>
    <row r="224" spans="3:14" x14ac:dyDescent="0.2">
      <c r="C224" s="716"/>
      <c r="D224" s="717"/>
      <c r="E224" s="717"/>
      <c r="F224" s="717"/>
      <c r="G224" s="717"/>
      <c r="H224" s="717"/>
      <c r="I224" s="717"/>
      <c r="J224" s="717"/>
      <c r="K224" s="717"/>
      <c r="L224" s="717"/>
      <c r="M224" s="717"/>
      <c r="N224" s="718"/>
    </row>
    <row r="225" spans="3:14" x14ac:dyDescent="0.2">
      <c r="C225" s="716"/>
      <c r="D225" s="717"/>
      <c r="E225" s="717"/>
      <c r="F225" s="717"/>
      <c r="G225" s="717"/>
      <c r="H225" s="717"/>
      <c r="I225" s="717"/>
      <c r="J225" s="717"/>
      <c r="K225" s="717"/>
      <c r="L225" s="717"/>
      <c r="M225" s="717"/>
      <c r="N225" s="718"/>
    </row>
    <row r="226" spans="3:14" x14ac:dyDescent="0.2">
      <c r="C226" s="716"/>
      <c r="D226" s="717"/>
      <c r="E226" s="717"/>
      <c r="F226" s="717"/>
      <c r="G226" s="717"/>
      <c r="H226" s="717"/>
      <c r="I226" s="717"/>
      <c r="J226" s="717"/>
      <c r="K226" s="717"/>
      <c r="L226" s="717"/>
      <c r="M226" s="717"/>
      <c r="N226" s="718"/>
    </row>
    <row r="227" spans="3:14" x14ac:dyDescent="0.2">
      <c r="C227" s="716"/>
      <c r="D227" s="717"/>
      <c r="E227" s="717"/>
      <c r="F227" s="717"/>
      <c r="G227" s="717"/>
      <c r="H227" s="717"/>
      <c r="I227" s="717"/>
      <c r="J227" s="717"/>
      <c r="K227" s="717"/>
      <c r="L227" s="717"/>
      <c r="M227" s="717"/>
      <c r="N227" s="718"/>
    </row>
    <row r="228" spans="3:14" x14ac:dyDescent="0.2">
      <c r="C228" s="716"/>
      <c r="D228" s="717"/>
      <c r="E228" s="717"/>
      <c r="F228" s="717"/>
      <c r="G228" s="717"/>
      <c r="H228" s="717"/>
      <c r="I228" s="717"/>
      <c r="J228" s="717"/>
      <c r="K228" s="717"/>
      <c r="L228" s="717"/>
      <c r="M228" s="717"/>
      <c r="N228" s="718"/>
    </row>
    <row r="229" spans="3:14" x14ac:dyDescent="0.2">
      <c r="C229" s="716"/>
      <c r="D229" s="717"/>
      <c r="E229" s="717"/>
      <c r="F229" s="717"/>
      <c r="G229" s="717"/>
      <c r="H229" s="717"/>
      <c r="I229" s="717"/>
      <c r="J229" s="717"/>
      <c r="K229" s="717"/>
      <c r="L229" s="717"/>
      <c r="M229" s="717"/>
      <c r="N229" s="718"/>
    </row>
    <row r="230" spans="3:14" x14ac:dyDescent="0.2">
      <c r="C230" s="716"/>
      <c r="D230" s="717"/>
      <c r="E230" s="717"/>
      <c r="F230" s="717"/>
      <c r="G230" s="717"/>
      <c r="H230" s="717"/>
      <c r="I230" s="717"/>
      <c r="J230" s="717"/>
      <c r="K230" s="717"/>
      <c r="L230" s="717"/>
      <c r="M230" s="717"/>
      <c r="N230" s="718"/>
    </row>
    <row r="231" spans="3:14" x14ac:dyDescent="0.2">
      <c r="C231" s="716"/>
      <c r="D231" s="717"/>
      <c r="E231" s="717"/>
      <c r="F231" s="717"/>
      <c r="G231" s="717"/>
      <c r="H231" s="717"/>
      <c r="I231" s="717"/>
      <c r="J231" s="717"/>
      <c r="K231" s="717"/>
      <c r="L231" s="717"/>
      <c r="M231" s="717"/>
      <c r="N231" s="718"/>
    </row>
    <row r="232" spans="3:14" x14ac:dyDescent="0.2">
      <c r="C232" s="716"/>
      <c r="D232" s="717"/>
      <c r="E232" s="717"/>
      <c r="F232" s="717"/>
      <c r="G232" s="717"/>
      <c r="H232" s="717"/>
      <c r="I232" s="717"/>
      <c r="J232" s="717"/>
      <c r="K232" s="717"/>
      <c r="L232" s="717"/>
      <c r="M232" s="717"/>
      <c r="N232" s="718"/>
    </row>
    <row r="233" spans="3:14" x14ac:dyDescent="0.2">
      <c r="C233" s="716"/>
      <c r="D233" s="717"/>
      <c r="E233" s="717"/>
      <c r="F233" s="717"/>
      <c r="G233" s="717"/>
      <c r="H233" s="717"/>
      <c r="I233" s="717"/>
      <c r="J233" s="717"/>
      <c r="K233" s="717"/>
      <c r="L233" s="717"/>
      <c r="M233" s="717"/>
      <c r="N233" s="718"/>
    </row>
    <row r="234" spans="3:14" x14ac:dyDescent="0.2">
      <c r="C234" s="716"/>
      <c r="D234" s="717"/>
      <c r="E234" s="717"/>
      <c r="F234" s="717"/>
      <c r="G234" s="717"/>
      <c r="H234" s="717"/>
      <c r="I234" s="717"/>
      <c r="J234" s="717"/>
      <c r="K234" s="717"/>
      <c r="L234" s="717"/>
      <c r="M234" s="717"/>
      <c r="N234" s="718"/>
    </row>
    <row r="235" spans="3:14" x14ac:dyDescent="0.2">
      <c r="C235" s="716"/>
      <c r="D235" s="717"/>
      <c r="E235" s="717"/>
      <c r="F235" s="717"/>
      <c r="G235" s="717"/>
      <c r="H235" s="717"/>
      <c r="I235" s="717"/>
      <c r="J235" s="717"/>
      <c r="K235" s="717"/>
      <c r="L235" s="717"/>
      <c r="M235" s="717"/>
      <c r="N235" s="718"/>
    </row>
    <row r="236" spans="3:14" x14ac:dyDescent="0.2">
      <c r="C236" s="719"/>
      <c r="D236" s="720"/>
      <c r="E236" s="720"/>
      <c r="F236" s="720"/>
      <c r="G236" s="720"/>
      <c r="H236" s="720"/>
      <c r="I236" s="720"/>
      <c r="J236" s="720"/>
      <c r="K236" s="720"/>
      <c r="L236" s="720"/>
      <c r="M236" s="720"/>
      <c r="N236" s="721"/>
    </row>
    <row r="237" spans="3:14" x14ac:dyDescent="0.2">
      <c r="H237" s="159"/>
    </row>
    <row r="238" spans="3:14" x14ac:dyDescent="0.2">
      <c r="H238" s="159"/>
    </row>
    <row r="239" spans="3:14" x14ac:dyDescent="0.2">
      <c r="H239" s="159"/>
    </row>
    <row r="240" spans="3:14" x14ac:dyDescent="0.2">
      <c r="H240" s="159"/>
    </row>
    <row r="241" spans="3:14" x14ac:dyDescent="0.2">
      <c r="H241" s="159"/>
    </row>
    <row r="242" spans="3:14" x14ac:dyDescent="0.2">
      <c r="H242" s="159"/>
    </row>
    <row r="243" spans="3:14" x14ac:dyDescent="0.2">
      <c r="H243" s="159"/>
    </row>
    <row r="244" spans="3:14" x14ac:dyDescent="0.2">
      <c r="H244" s="159"/>
    </row>
    <row r="245" spans="3:14" x14ac:dyDescent="0.2">
      <c r="H245" s="159"/>
    </row>
    <row r="246" spans="3:14" x14ac:dyDescent="0.2">
      <c r="H246" s="159"/>
    </row>
    <row r="247" spans="3:14" x14ac:dyDescent="0.2">
      <c r="H247" s="159"/>
    </row>
    <row r="248" spans="3:14" x14ac:dyDescent="0.2">
      <c r="H248" s="159"/>
    </row>
    <row r="249" spans="3:14" x14ac:dyDescent="0.2">
      <c r="H249" s="159"/>
    </row>
    <row r="250" spans="3:14" x14ac:dyDescent="0.2">
      <c r="H250" s="159"/>
    </row>
    <row r="251" spans="3:14" x14ac:dyDescent="0.2">
      <c r="H251" s="159"/>
    </row>
    <row r="252" spans="3:14" x14ac:dyDescent="0.2">
      <c r="H252" s="159"/>
    </row>
    <row r="253" spans="3:14" ht="12.75" customHeight="1" x14ac:dyDescent="0.2">
      <c r="C253" s="713" t="s">
        <v>449</v>
      </c>
      <c r="D253" s="714"/>
      <c r="E253" s="714"/>
      <c r="F253" s="714"/>
      <c r="G253" s="714"/>
      <c r="H253" s="714"/>
      <c r="I253" s="714"/>
      <c r="J253" s="714"/>
      <c r="K253" s="714"/>
      <c r="L253" s="714"/>
      <c r="M253" s="714"/>
      <c r="N253" s="715"/>
    </row>
    <row r="254" spans="3:14" x14ac:dyDescent="0.2">
      <c r="C254" s="716"/>
      <c r="D254" s="717"/>
      <c r="E254" s="717"/>
      <c r="F254" s="717"/>
      <c r="G254" s="717"/>
      <c r="H254" s="717"/>
      <c r="I254" s="717"/>
      <c r="J254" s="717"/>
      <c r="K254" s="717"/>
      <c r="L254" s="717"/>
      <c r="M254" s="717"/>
      <c r="N254" s="718"/>
    </row>
    <row r="255" spans="3:14" x14ac:dyDescent="0.2">
      <c r="C255" s="716"/>
      <c r="D255" s="717"/>
      <c r="E255" s="717"/>
      <c r="F255" s="717"/>
      <c r="G255" s="717"/>
      <c r="H255" s="717"/>
      <c r="I255" s="717"/>
      <c r="J255" s="717"/>
      <c r="K255" s="717"/>
      <c r="L255" s="717"/>
      <c r="M255" s="717"/>
      <c r="N255" s="718"/>
    </row>
    <row r="256" spans="3:14" x14ac:dyDescent="0.2">
      <c r="C256" s="716"/>
      <c r="D256" s="717"/>
      <c r="E256" s="717"/>
      <c r="F256" s="717"/>
      <c r="G256" s="717"/>
      <c r="H256" s="717"/>
      <c r="I256" s="717"/>
      <c r="J256" s="717"/>
      <c r="K256" s="717"/>
      <c r="L256" s="717"/>
      <c r="M256" s="717"/>
      <c r="N256" s="718"/>
    </row>
    <row r="257" spans="3:14" x14ac:dyDescent="0.2">
      <c r="C257" s="716"/>
      <c r="D257" s="717"/>
      <c r="E257" s="717"/>
      <c r="F257" s="717"/>
      <c r="G257" s="717"/>
      <c r="H257" s="717"/>
      <c r="I257" s="717"/>
      <c r="J257" s="717"/>
      <c r="K257" s="717"/>
      <c r="L257" s="717"/>
      <c r="M257" s="717"/>
      <c r="N257" s="718"/>
    </row>
    <row r="258" spans="3:14" x14ac:dyDescent="0.2">
      <c r="C258" s="716"/>
      <c r="D258" s="717"/>
      <c r="E258" s="717"/>
      <c r="F258" s="717"/>
      <c r="G258" s="717"/>
      <c r="H258" s="717"/>
      <c r="I258" s="717"/>
      <c r="J258" s="717"/>
      <c r="K258" s="717"/>
      <c r="L258" s="717"/>
      <c r="M258" s="717"/>
      <c r="N258" s="718"/>
    </row>
    <row r="259" spans="3:14" x14ac:dyDescent="0.2">
      <c r="C259" s="716"/>
      <c r="D259" s="717"/>
      <c r="E259" s="717"/>
      <c r="F259" s="717"/>
      <c r="G259" s="717"/>
      <c r="H259" s="717"/>
      <c r="I259" s="717"/>
      <c r="J259" s="717"/>
      <c r="K259" s="717"/>
      <c r="L259" s="717"/>
      <c r="M259" s="717"/>
      <c r="N259" s="718"/>
    </row>
    <row r="260" spans="3:14" x14ac:dyDescent="0.2">
      <c r="C260" s="716"/>
      <c r="D260" s="717"/>
      <c r="E260" s="717"/>
      <c r="F260" s="717"/>
      <c r="G260" s="717"/>
      <c r="H260" s="717"/>
      <c r="I260" s="717"/>
      <c r="J260" s="717"/>
      <c r="K260" s="717"/>
      <c r="L260" s="717"/>
      <c r="M260" s="717"/>
      <c r="N260" s="718"/>
    </row>
    <row r="261" spans="3:14" x14ac:dyDescent="0.2">
      <c r="C261" s="716"/>
      <c r="D261" s="717"/>
      <c r="E261" s="717"/>
      <c r="F261" s="717"/>
      <c r="G261" s="717"/>
      <c r="H261" s="717"/>
      <c r="I261" s="717"/>
      <c r="J261" s="717"/>
      <c r="K261" s="717"/>
      <c r="L261" s="717"/>
      <c r="M261" s="717"/>
      <c r="N261" s="718"/>
    </row>
    <row r="262" spans="3:14" x14ac:dyDescent="0.2">
      <c r="C262" s="716"/>
      <c r="D262" s="717"/>
      <c r="E262" s="717"/>
      <c r="F262" s="717"/>
      <c r="G262" s="717"/>
      <c r="H262" s="717"/>
      <c r="I262" s="717"/>
      <c r="J262" s="717"/>
      <c r="K262" s="717"/>
      <c r="L262" s="717"/>
      <c r="M262" s="717"/>
      <c r="N262" s="718"/>
    </row>
    <row r="263" spans="3:14" x14ac:dyDescent="0.2">
      <c r="C263" s="716"/>
      <c r="D263" s="717"/>
      <c r="E263" s="717"/>
      <c r="F263" s="717"/>
      <c r="G263" s="717"/>
      <c r="H263" s="717"/>
      <c r="I263" s="717"/>
      <c r="J263" s="717"/>
      <c r="K263" s="717"/>
      <c r="L263" s="717"/>
      <c r="M263" s="717"/>
      <c r="N263" s="718"/>
    </row>
    <row r="264" spans="3:14" x14ac:dyDescent="0.2">
      <c r="C264" s="716"/>
      <c r="D264" s="717"/>
      <c r="E264" s="717"/>
      <c r="F264" s="717"/>
      <c r="G264" s="717"/>
      <c r="H264" s="717"/>
      <c r="I264" s="717"/>
      <c r="J264" s="717"/>
      <c r="K264" s="717"/>
      <c r="L264" s="717"/>
      <c r="M264" s="717"/>
      <c r="N264" s="718"/>
    </row>
    <row r="265" spans="3:14" x14ac:dyDescent="0.2">
      <c r="C265" s="716"/>
      <c r="D265" s="717"/>
      <c r="E265" s="717"/>
      <c r="F265" s="717"/>
      <c r="G265" s="717"/>
      <c r="H265" s="717"/>
      <c r="I265" s="717"/>
      <c r="J265" s="717"/>
      <c r="K265" s="717"/>
      <c r="L265" s="717"/>
      <c r="M265" s="717"/>
      <c r="N265" s="718"/>
    </row>
    <row r="266" spans="3:14" x14ac:dyDescent="0.2">
      <c r="C266" s="716"/>
      <c r="D266" s="717"/>
      <c r="E266" s="717"/>
      <c r="F266" s="717"/>
      <c r="G266" s="717"/>
      <c r="H266" s="717"/>
      <c r="I266" s="717"/>
      <c r="J266" s="717"/>
      <c r="K266" s="717"/>
      <c r="L266" s="717"/>
      <c r="M266" s="717"/>
      <c r="N266" s="718"/>
    </row>
    <row r="267" spans="3:14" x14ac:dyDescent="0.2">
      <c r="C267" s="716"/>
      <c r="D267" s="717"/>
      <c r="E267" s="717"/>
      <c r="F267" s="717"/>
      <c r="G267" s="717"/>
      <c r="H267" s="717"/>
      <c r="I267" s="717"/>
      <c r="J267" s="717"/>
      <c r="K267" s="717"/>
      <c r="L267" s="717"/>
      <c r="M267" s="717"/>
      <c r="N267" s="718"/>
    </row>
    <row r="268" spans="3:14" x14ac:dyDescent="0.2">
      <c r="C268" s="716"/>
      <c r="D268" s="717"/>
      <c r="E268" s="717"/>
      <c r="F268" s="717"/>
      <c r="G268" s="717"/>
      <c r="H268" s="717"/>
      <c r="I268" s="717"/>
      <c r="J268" s="717"/>
      <c r="K268" s="717"/>
      <c r="L268" s="717"/>
      <c r="M268" s="717"/>
      <c r="N268" s="718"/>
    </row>
    <row r="269" spans="3:14" x14ac:dyDescent="0.2">
      <c r="C269" s="716"/>
      <c r="D269" s="717"/>
      <c r="E269" s="717"/>
      <c r="F269" s="717"/>
      <c r="G269" s="717"/>
      <c r="H269" s="717"/>
      <c r="I269" s="717"/>
      <c r="J269" s="717"/>
      <c r="K269" s="717"/>
      <c r="L269" s="717"/>
      <c r="M269" s="717"/>
      <c r="N269" s="718"/>
    </row>
    <row r="270" spans="3:14" x14ac:dyDescent="0.2">
      <c r="C270" s="716"/>
      <c r="D270" s="717"/>
      <c r="E270" s="717"/>
      <c r="F270" s="717"/>
      <c r="G270" s="717"/>
      <c r="H270" s="717"/>
      <c r="I270" s="717"/>
      <c r="J270" s="717"/>
      <c r="K270" s="717"/>
      <c r="L270" s="717"/>
      <c r="M270" s="717"/>
      <c r="N270" s="718"/>
    </row>
    <row r="271" spans="3:14" x14ac:dyDescent="0.2">
      <c r="C271" s="716"/>
      <c r="D271" s="717"/>
      <c r="E271" s="717"/>
      <c r="F271" s="717"/>
      <c r="G271" s="717"/>
      <c r="H271" s="717"/>
      <c r="I271" s="717"/>
      <c r="J271" s="717"/>
      <c r="K271" s="717"/>
      <c r="L271" s="717"/>
      <c r="M271" s="717"/>
      <c r="N271" s="718"/>
    </row>
    <row r="272" spans="3:14" x14ac:dyDescent="0.2">
      <c r="C272" s="716"/>
      <c r="D272" s="717"/>
      <c r="E272" s="717"/>
      <c r="F272" s="717"/>
      <c r="G272" s="717"/>
      <c r="H272" s="717"/>
      <c r="I272" s="717"/>
      <c r="J272" s="717"/>
      <c r="K272" s="717"/>
      <c r="L272" s="717"/>
      <c r="M272" s="717"/>
      <c r="N272" s="718"/>
    </row>
    <row r="273" spans="3:14" x14ac:dyDescent="0.2">
      <c r="C273" s="716"/>
      <c r="D273" s="717"/>
      <c r="E273" s="717"/>
      <c r="F273" s="717"/>
      <c r="G273" s="717"/>
      <c r="H273" s="717"/>
      <c r="I273" s="717"/>
      <c r="J273" s="717"/>
      <c r="K273" s="717"/>
      <c r="L273" s="717"/>
      <c r="M273" s="717"/>
      <c r="N273" s="718"/>
    </row>
    <row r="274" spans="3:14" x14ac:dyDescent="0.2">
      <c r="C274" s="716"/>
      <c r="D274" s="717"/>
      <c r="E274" s="717"/>
      <c r="F274" s="717"/>
      <c r="G274" s="717"/>
      <c r="H274" s="717"/>
      <c r="I274" s="717"/>
      <c r="J274" s="717"/>
      <c r="K274" s="717"/>
      <c r="L274" s="717"/>
      <c r="M274" s="717"/>
      <c r="N274" s="718"/>
    </row>
    <row r="275" spans="3:14" x14ac:dyDescent="0.2">
      <c r="C275" s="716"/>
      <c r="D275" s="717"/>
      <c r="E275" s="717"/>
      <c r="F275" s="717"/>
      <c r="G275" s="717"/>
      <c r="H275" s="717"/>
      <c r="I275" s="717"/>
      <c r="J275" s="717"/>
      <c r="K275" s="717"/>
      <c r="L275" s="717"/>
      <c r="M275" s="717"/>
      <c r="N275" s="718"/>
    </row>
    <row r="276" spans="3:14" x14ac:dyDescent="0.2">
      <c r="C276" s="716"/>
      <c r="D276" s="717"/>
      <c r="E276" s="717"/>
      <c r="F276" s="717"/>
      <c r="G276" s="717"/>
      <c r="H276" s="717"/>
      <c r="I276" s="717"/>
      <c r="J276" s="717"/>
      <c r="K276" s="717"/>
      <c r="L276" s="717"/>
      <c r="M276" s="717"/>
      <c r="N276" s="718"/>
    </row>
    <row r="277" spans="3:14" x14ac:dyDescent="0.2">
      <c r="C277" s="716"/>
      <c r="D277" s="717"/>
      <c r="E277" s="717"/>
      <c r="F277" s="717"/>
      <c r="G277" s="717"/>
      <c r="H277" s="717"/>
      <c r="I277" s="717"/>
      <c r="J277" s="717"/>
      <c r="K277" s="717"/>
      <c r="L277" s="717"/>
      <c r="M277" s="717"/>
      <c r="N277" s="718"/>
    </row>
    <row r="278" spans="3:14" x14ac:dyDescent="0.2">
      <c r="C278" s="716"/>
      <c r="D278" s="717"/>
      <c r="E278" s="717"/>
      <c r="F278" s="717"/>
      <c r="G278" s="717"/>
      <c r="H278" s="717"/>
      <c r="I278" s="717"/>
      <c r="J278" s="717"/>
      <c r="K278" s="717"/>
      <c r="L278" s="717"/>
      <c r="M278" s="717"/>
      <c r="N278" s="718"/>
    </row>
    <row r="279" spans="3:14" x14ac:dyDescent="0.2">
      <c r="C279" s="716"/>
      <c r="D279" s="717"/>
      <c r="E279" s="717"/>
      <c r="F279" s="717"/>
      <c r="G279" s="717"/>
      <c r="H279" s="717"/>
      <c r="I279" s="717"/>
      <c r="J279" s="717"/>
      <c r="K279" s="717"/>
      <c r="L279" s="717"/>
      <c r="M279" s="717"/>
      <c r="N279" s="718"/>
    </row>
    <row r="280" spans="3:14" x14ac:dyDescent="0.2">
      <c r="C280" s="716"/>
      <c r="D280" s="717"/>
      <c r="E280" s="717"/>
      <c r="F280" s="717"/>
      <c r="G280" s="717"/>
      <c r="H280" s="717"/>
      <c r="I280" s="717"/>
      <c r="J280" s="717"/>
      <c r="K280" s="717"/>
      <c r="L280" s="717"/>
      <c r="M280" s="717"/>
      <c r="N280" s="718"/>
    </row>
    <row r="281" spans="3:14" x14ac:dyDescent="0.2">
      <c r="C281" s="716"/>
      <c r="D281" s="717"/>
      <c r="E281" s="717"/>
      <c r="F281" s="717"/>
      <c r="G281" s="717"/>
      <c r="H281" s="717"/>
      <c r="I281" s="717"/>
      <c r="J281" s="717"/>
      <c r="K281" s="717"/>
      <c r="L281" s="717"/>
      <c r="M281" s="717"/>
      <c r="N281" s="718"/>
    </row>
    <row r="282" spans="3:14" x14ac:dyDescent="0.2">
      <c r="C282" s="716"/>
      <c r="D282" s="717"/>
      <c r="E282" s="717"/>
      <c r="F282" s="717"/>
      <c r="G282" s="717"/>
      <c r="H282" s="717"/>
      <c r="I282" s="717"/>
      <c r="J282" s="717"/>
      <c r="K282" s="717"/>
      <c r="L282" s="717"/>
      <c r="M282" s="717"/>
      <c r="N282" s="718"/>
    </row>
    <row r="283" spans="3:14" x14ac:dyDescent="0.2">
      <c r="C283" s="719"/>
      <c r="D283" s="720"/>
      <c r="E283" s="720"/>
      <c r="F283" s="720"/>
      <c r="G283" s="720"/>
      <c r="H283" s="720"/>
      <c r="I283" s="720"/>
      <c r="J283" s="720"/>
      <c r="K283" s="720"/>
      <c r="L283" s="720"/>
      <c r="M283" s="720"/>
      <c r="N283" s="721"/>
    </row>
    <row r="286" spans="3:14" x14ac:dyDescent="0.2">
      <c r="C286" s="713" t="s">
        <v>450</v>
      </c>
      <c r="D286" s="714"/>
      <c r="E286" s="714"/>
      <c r="F286" s="714"/>
      <c r="G286" s="714"/>
      <c r="H286" s="714"/>
      <c r="I286" s="714"/>
      <c r="J286" s="714"/>
      <c r="K286" s="714"/>
      <c r="L286" s="714"/>
      <c r="M286" s="714"/>
      <c r="N286" s="715"/>
    </row>
    <row r="287" spans="3:14" x14ac:dyDescent="0.2">
      <c r="C287" s="716"/>
      <c r="D287" s="717"/>
      <c r="E287" s="717"/>
      <c r="F287" s="717"/>
      <c r="G287" s="717"/>
      <c r="H287" s="717"/>
      <c r="I287" s="717"/>
      <c r="J287" s="717"/>
      <c r="K287" s="717"/>
      <c r="L287" s="717"/>
      <c r="M287" s="717"/>
      <c r="N287" s="718"/>
    </row>
    <row r="288" spans="3:14" x14ac:dyDescent="0.2">
      <c r="C288" s="716"/>
      <c r="D288" s="717"/>
      <c r="E288" s="717"/>
      <c r="F288" s="717"/>
      <c r="G288" s="717"/>
      <c r="H288" s="717"/>
      <c r="I288" s="717"/>
      <c r="J288" s="717"/>
      <c r="K288" s="717"/>
      <c r="L288" s="717"/>
      <c r="M288" s="717"/>
      <c r="N288" s="718"/>
    </row>
    <row r="289" spans="3:14" x14ac:dyDescent="0.2">
      <c r="C289" s="716"/>
      <c r="D289" s="717"/>
      <c r="E289" s="717"/>
      <c r="F289" s="717"/>
      <c r="G289" s="717"/>
      <c r="H289" s="717"/>
      <c r="I289" s="717"/>
      <c r="J289" s="717"/>
      <c r="K289" s="717"/>
      <c r="L289" s="717"/>
      <c r="M289" s="717"/>
      <c r="N289" s="718"/>
    </row>
    <row r="290" spans="3:14" x14ac:dyDescent="0.2">
      <c r="C290" s="716"/>
      <c r="D290" s="717"/>
      <c r="E290" s="717"/>
      <c r="F290" s="717"/>
      <c r="G290" s="717"/>
      <c r="H290" s="717"/>
      <c r="I290" s="717"/>
      <c r="J290" s="717"/>
      <c r="K290" s="717"/>
      <c r="L290" s="717"/>
      <c r="M290" s="717"/>
      <c r="N290" s="718"/>
    </row>
    <row r="291" spans="3:14" x14ac:dyDescent="0.2">
      <c r="C291" s="716"/>
      <c r="D291" s="717"/>
      <c r="E291" s="717"/>
      <c r="F291" s="717"/>
      <c r="G291" s="717"/>
      <c r="H291" s="717"/>
      <c r="I291" s="717"/>
      <c r="J291" s="717"/>
      <c r="K291" s="717"/>
      <c r="L291" s="717"/>
      <c r="M291" s="717"/>
      <c r="N291" s="718"/>
    </row>
    <row r="292" spans="3:14" x14ac:dyDescent="0.2">
      <c r="C292" s="716"/>
      <c r="D292" s="717"/>
      <c r="E292" s="717"/>
      <c r="F292" s="717"/>
      <c r="G292" s="717"/>
      <c r="H292" s="717"/>
      <c r="I292" s="717"/>
      <c r="J292" s="717"/>
      <c r="K292" s="717"/>
      <c r="L292" s="717"/>
      <c r="M292" s="717"/>
      <c r="N292" s="718"/>
    </row>
    <row r="293" spans="3:14" x14ac:dyDescent="0.2">
      <c r="C293" s="716"/>
      <c r="D293" s="717"/>
      <c r="E293" s="717"/>
      <c r="F293" s="717"/>
      <c r="G293" s="717"/>
      <c r="H293" s="717"/>
      <c r="I293" s="717"/>
      <c r="J293" s="717"/>
      <c r="K293" s="717"/>
      <c r="L293" s="717"/>
      <c r="M293" s="717"/>
      <c r="N293" s="718"/>
    </row>
    <row r="294" spans="3:14" x14ac:dyDescent="0.2">
      <c r="C294" s="716"/>
      <c r="D294" s="717"/>
      <c r="E294" s="717"/>
      <c r="F294" s="717"/>
      <c r="G294" s="717"/>
      <c r="H294" s="717"/>
      <c r="I294" s="717"/>
      <c r="J294" s="717"/>
      <c r="K294" s="717"/>
      <c r="L294" s="717"/>
      <c r="M294" s="717"/>
      <c r="N294" s="718"/>
    </row>
    <row r="295" spans="3:14" x14ac:dyDescent="0.2">
      <c r="C295" s="716"/>
      <c r="D295" s="717"/>
      <c r="E295" s="717"/>
      <c r="F295" s="717"/>
      <c r="G295" s="717"/>
      <c r="H295" s="717"/>
      <c r="I295" s="717"/>
      <c r="J295" s="717"/>
      <c r="K295" s="717"/>
      <c r="L295" s="717"/>
      <c r="M295" s="717"/>
      <c r="N295" s="718"/>
    </row>
    <row r="296" spans="3:14" x14ac:dyDescent="0.2">
      <c r="C296" s="716"/>
      <c r="D296" s="717"/>
      <c r="E296" s="717"/>
      <c r="F296" s="717"/>
      <c r="G296" s="717"/>
      <c r="H296" s="717"/>
      <c r="I296" s="717"/>
      <c r="J296" s="717"/>
      <c r="K296" s="717"/>
      <c r="L296" s="717"/>
      <c r="M296" s="717"/>
      <c r="N296" s="718"/>
    </row>
    <row r="297" spans="3:14" x14ac:dyDescent="0.2">
      <c r="C297" s="716"/>
      <c r="D297" s="717"/>
      <c r="E297" s="717"/>
      <c r="F297" s="717"/>
      <c r="G297" s="717"/>
      <c r="H297" s="717"/>
      <c r="I297" s="717"/>
      <c r="J297" s="717"/>
      <c r="K297" s="717"/>
      <c r="L297" s="717"/>
      <c r="M297" s="717"/>
      <c r="N297" s="718"/>
    </row>
    <row r="298" spans="3:14" x14ac:dyDescent="0.2">
      <c r="C298" s="716"/>
      <c r="D298" s="717"/>
      <c r="E298" s="717"/>
      <c r="F298" s="717"/>
      <c r="G298" s="717"/>
      <c r="H298" s="717"/>
      <c r="I298" s="717"/>
      <c r="J298" s="717"/>
      <c r="K298" s="717"/>
      <c r="L298" s="717"/>
      <c r="M298" s="717"/>
      <c r="N298" s="718"/>
    </row>
    <row r="299" spans="3:14" x14ac:dyDescent="0.2">
      <c r="C299" s="716"/>
      <c r="D299" s="717"/>
      <c r="E299" s="717"/>
      <c r="F299" s="717"/>
      <c r="G299" s="717"/>
      <c r="H299" s="717"/>
      <c r="I299" s="717"/>
      <c r="J299" s="717"/>
      <c r="K299" s="717"/>
      <c r="L299" s="717"/>
      <c r="M299" s="717"/>
      <c r="N299" s="718"/>
    </row>
    <row r="300" spans="3:14" x14ac:dyDescent="0.2">
      <c r="C300" s="716"/>
      <c r="D300" s="717"/>
      <c r="E300" s="717"/>
      <c r="F300" s="717"/>
      <c r="G300" s="717"/>
      <c r="H300" s="717"/>
      <c r="I300" s="717"/>
      <c r="J300" s="717"/>
      <c r="K300" s="717"/>
      <c r="L300" s="717"/>
      <c r="M300" s="717"/>
      <c r="N300" s="718"/>
    </row>
    <row r="301" spans="3:14" x14ac:dyDescent="0.2">
      <c r="C301" s="716"/>
      <c r="D301" s="717"/>
      <c r="E301" s="717"/>
      <c r="F301" s="717"/>
      <c r="G301" s="717"/>
      <c r="H301" s="717"/>
      <c r="I301" s="717"/>
      <c r="J301" s="717"/>
      <c r="K301" s="717"/>
      <c r="L301" s="717"/>
      <c r="M301" s="717"/>
      <c r="N301" s="718"/>
    </row>
    <row r="302" spans="3:14" x14ac:dyDescent="0.2">
      <c r="C302" s="716"/>
      <c r="D302" s="717"/>
      <c r="E302" s="717"/>
      <c r="F302" s="717"/>
      <c r="G302" s="717"/>
      <c r="H302" s="717"/>
      <c r="I302" s="717"/>
      <c r="J302" s="717"/>
      <c r="K302" s="717"/>
      <c r="L302" s="717"/>
      <c r="M302" s="717"/>
      <c r="N302" s="718"/>
    </row>
    <row r="303" spans="3:14" x14ac:dyDescent="0.2">
      <c r="C303" s="716"/>
      <c r="D303" s="717"/>
      <c r="E303" s="717"/>
      <c r="F303" s="717"/>
      <c r="G303" s="717"/>
      <c r="H303" s="717"/>
      <c r="I303" s="717"/>
      <c r="J303" s="717"/>
      <c r="K303" s="717"/>
      <c r="L303" s="717"/>
      <c r="M303" s="717"/>
      <c r="N303" s="718"/>
    </row>
    <row r="304" spans="3:14" x14ac:dyDescent="0.2">
      <c r="C304" s="716"/>
      <c r="D304" s="717"/>
      <c r="E304" s="717"/>
      <c r="F304" s="717"/>
      <c r="G304" s="717"/>
      <c r="H304" s="717"/>
      <c r="I304" s="717"/>
      <c r="J304" s="717"/>
      <c r="K304" s="717"/>
      <c r="L304" s="717"/>
      <c r="M304" s="717"/>
      <c r="N304" s="718"/>
    </row>
    <row r="305" spans="2:26" x14ac:dyDescent="0.2">
      <c r="C305" s="716"/>
      <c r="D305" s="717"/>
      <c r="E305" s="717"/>
      <c r="F305" s="717"/>
      <c r="G305" s="717"/>
      <c r="H305" s="717"/>
      <c r="I305" s="717"/>
      <c r="J305" s="717"/>
      <c r="K305" s="717"/>
      <c r="L305" s="717"/>
      <c r="M305" s="717"/>
      <c r="N305" s="718"/>
    </row>
    <row r="306" spans="2:26" x14ac:dyDescent="0.2">
      <c r="C306" s="716"/>
      <c r="D306" s="717"/>
      <c r="E306" s="717"/>
      <c r="F306" s="717"/>
      <c r="G306" s="717"/>
      <c r="H306" s="717"/>
      <c r="I306" s="717"/>
      <c r="J306" s="717"/>
      <c r="K306" s="717"/>
      <c r="L306" s="717"/>
      <c r="M306" s="717"/>
      <c r="N306" s="718"/>
    </row>
    <row r="307" spans="2:26" x14ac:dyDescent="0.2">
      <c r="C307" s="716"/>
      <c r="D307" s="717"/>
      <c r="E307" s="717"/>
      <c r="F307" s="717"/>
      <c r="G307" s="717"/>
      <c r="H307" s="717"/>
      <c r="I307" s="717"/>
      <c r="J307" s="717"/>
      <c r="K307" s="717"/>
      <c r="L307" s="717"/>
      <c r="M307" s="717"/>
      <c r="N307" s="718"/>
    </row>
    <row r="308" spans="2:26" x14ac:dyDescent="0.2">
      <c r="C308" s="716"/>
      <c r="D308" s="717"/>
      <c r="E308" s="717"/>
      <c r="F308" s="717"/>
      <c r="G308" s="717"/>
      <c r="H308" s="717"/>
      <c r="I308" s="717"/>
      <c r="J308" s="717"/>
      <c r="K308" s="717"/>
      <c r="L308" s="717"/>
      <c r="M308" s="717"/>
      <c r="N308" s="718"/>
    </row>
    <row r="309" spans="2:26" x14ac:dyDescent="0.2">
      <c r="C309" s="716"/>
      <c r="D309" s="717"/>
      <c r="E309" s="717"/>
      <c r="F309" s="717"/>
      <c r="G309" s="717"/>
      <c r="H309" s="717"/>
      <c r="I309" s="717"/>
      <c r="J309" s="717"/>
      <c r="K309" s="717"/>
      <c r="L309" s="717"/>
      <c r="M309" s="717"/>
      <c r="N309" s="718"/>
    </row>
    <row r="310" spans="2:26" x14ac:dyDescent="0.2">
      <c r="C310" s="716"/>
      <c r="D310" s="717"/>
      <c r="E310" s="717"/>
      <c r="F310" s="717"/>
      <c r="G310" s="717"/>
      <c r="H310" s="717"/>
      <c r="I310" s="717"/>
      <c r="J310" s="717"/>
      <c r="K310" s="717"/>
      <c r="L310" s="717"/>
      <c r="M310" s="717"/>
      <c r="N310" s="718"/>
    </row>
    <row r="311" spans="2:26" x14ac:dyDescent="0.2">
      <c r="C311" s="716"/>
      <c r="D311" s="717"/>
      <c r="E311" s="717"/>
      <c r="F311" s="717"/>
      <c r="G311" s="717"/>
      <c r="H311" s="717"/>
      <c r="I311" s="717"/>
      <c r="J311" s="717"/>
      <c r="K311" s="717"/>
      <c r="L311" s="717"/>
      <c r="M311" s="717"/>
      <c r="N311" s="718"/>
    </row>
    <row r="312" spans="2:26" ht="12.75" customHeight="1" x14ac:dyDescent="0.2">
      <c r="C312" s="719"/>
      <c r="D312" s="720"/>
      <c r="E312" s="720"/>
      <c r="F312" s="720"/>
      <c r="G312" s="720"/>
      <c r="H312" s="720"/>
      <c r="I312" s="720"/>
      <c r="J312" s="720"/>
      <c r="K312" s="720"/>
      <c r="L312" s="720"/>
      <c r="M312" s="720"/>
      <c r="N312" s="721"/>
    </row>
    <row r="313" spans="2:26" x14ac:dyDescent="0.2">
      <c r="C313" s="276"/>
    </row>
    <row r="314" spans="2:26" x14ac:dyDescent="0.2">
      <c r="C314" s="276"/>
    </row>
    <row r="315" spans="2:26" x14ac:dyDescent="0.2">
      <c r="C315" s="276"/>
    </row>
    <row r="316" spans="2:26" x14ac:dyDescent="0.2">
      <c r="C316" s="276"/>
    </row>
    <row r="317" spans="2:26" ht="16.5" customHeight="1" x14ac:dyDescent="0.2">
      <c r="B317" s="167"/>
      <c r="C317" s="737" t="s">
        <v>451</v>
      </c>
      <c r="D317" s="729"/>
      <c r="E317" s="729"/>
      <c r="F317" s="729"/>
      <c r="G317" s="729"/>
      <c r="H317" s="729"/>
      <c r="I317" s="729"/>
      <c r="J317" s="729"/>
      <c r="K317" s="729"/>
      <c r="L317" s="729"/>
      <c r="M317" s="729"/>
      <c r="N317" s="730"/>
      <c r="O317" s="167"/>
      <c r="P317" s="167"/>
      <c r="Q317" s="167"/>
      <c r="R317" s="167"/>
      <c r="S317" s="167"/>
      <c r="T317" s="167"/>
      <c r="U317" s="167"/>
      <c r="V317" s="167"/>
      <c r="W317" s="167"/>
      <c r="X317" s="167"/>
      <c r="Y317" s="167"/>
      <c r="Z317" s="167"/>
    </row>
    <row r="318" spans="2:26" ht="13.5" customHeight="1" x14ac:dyDescent="0.2">
      <c r="B318" s="167"/>
      <c r="C318" s="731"/>
      <c r="D318" s="732"/>
      <c r="E318" s="732"/>
      <c r="F318" s="732"/>
      <c r="G318" s="732"/>
      <c r="H318" s="732"/>
      <c r="I318" s="732"/>
      <c r="J318" s="732"/>
      <c r="K318" s="732"/>
      <c r="L318" s="732"/>
      <c r="M318" s="732"/>
      <c r="N318" s="733"/>
      <c r="O318" s="167"/>
      <c r="P318" s="167"/>
      <c r="Q318" s="167"/>
      <c r="R318" s="167"/>
      <c r="S318" s="167"/>
      <c r="T318" s="167"/>
      <c r="U318" s="167"/>
      <c r="V318" s="167"/>
      <c r="W318" s="167"/>
      <c r="X318" s="167"/>
      <c r="Y318" s="167"/>
      <c r="Z318" s="167"/>
    </row>
    <row r="319" spans="2:26" ht="13.5" customHeight="1" x14ac:dyDescent="0.2">
      <c r="B319" s="167"/>
      <c r="C319" s="731"/>
      <c r="D319" s="732"/>
      <c r="E319" s="732"/>
      <c r="F319" s="732"/>
      <c r="G319" s="732"/>
      <c r="H319" s="732"/>
      <c r="I319" s="732"/>
      <c r="J319" s="732"/>
      <c r="K319" s="732"/>
      <c r="L319" s="732"/>
      <c r="M319" s="732"/>
      <c r="N319" s="733"/>
      <c r="O319" s="167"/>
      <c r="P319" s="167"/>
      <c r="Q319" s="167"/>
      <c r="R319" s="167"/>
      <c r="S319" s="167"/>
      <c r="T319" s="167"/>
      <c r="U319" s="167"/>
      <c r="V319" s="167"/>
      <c r="W319" s="167"/>
      <c r="X319" s="167"/>
      <c r="Y319" s="167"/>
      <c r="Z319" s="167"/>
    </row>
    <row r="320" spans="2:26" ht="13.5" customHeight="1" x14ac:dyDescent="0.2">
      <c r="B320" s="167"/>
      <c r="C320" s="731"/>
      <c r="D320" s="732"/>
      <c r="E320" s="732"/>
      <c r="F320" s="732"/>
      <c r="G320" s="732"/>
      <c r="H320" s="732"/>
      <c r="I320" s="732"/>
      <c r="J320" s="732"/>
      <c r="K320" s="732"/>
      <c r="L320" s="732"/>
      <c r="M320" s="732"/>
      <c r="N320" s="733"/>
      <c r="O320" s="167"/>
      <c r="P320" s="167"/>
      <c r="Q320" s="167"/>
      <c r="R320" s="167"/>
      <c r="S320" s="167"/>
      <c r="T320" s="167"/>
      <c r="U320" s="167"/>
      <c r="V320" s="167"/>
      <c r="W320" s="167"/>
      <c r="X320" s="167"/>
      <c r="Y320" s="167"/>
      <c r="Z320" s="167"/>
    </row>
    <row r="321" spans="2:26" ht="13.5" customHeight="1" x14ac:dyDescent="0.2">
      <c r="B321" s="167"/>
      <c r="C321" s="731"/>
      <c r="D321" s="732"/>
      <c r="E321" s="732"/>
      <c r="F321" s="732"/>
      <c r="G321" s="732"/>
      <c r="H321" s="732"/>
      <c r="I321" s="732"/>
      <c r="J321" s="732"/>
      <c r="K321" s="732"/>
      <c r="L321" s="732"/>
      <c r="M321" s="732"/>
      <c r="N321" s="733"/>
      <c r="O321" s="167"/>
      <c r="P321" s="167"/>
      <c r="Q321" s="167"/>
      <c r="R321" s="167"/>
      <c r="S321" s="167"/>
      <c r="T321" s="167"/>
      <c r="U321" s="167"/>
      <c r="V321" s="167"/>
      <c r="W321" s="167"/>
      <c r="X321" s="167"/>
      <c r="Y321" s="167"/>
      <c r="Z321" s="167"/>
    </row>
    <row r="322" spans="2:26" ht="13.5" customHeight="1" x14ac:dyDescent="0.2">
      <c r="C322" s="731"/>
      <c r="D322" s="732"/>
      <c r="E322" s="732"/>
      <c r="F322" s="732"/>
      <c r="G322" s="732"/>
      <c r="H322" s="732"/>
      <c r="I322" s="732"/>
      <c r="J322" s="732"/>
      <c r="K322" s="732"/>
      <c r="L322" s="732"/>
      <c r="M322" s="732"/>
      <c r="N322" s="733"/>
    </row>
    <row r="323" spans="2:26" ht="13.5" customHeight="1" x14ac:dyDescent="0.2">
      <c r="C323" s="731"/>
      <c r="D323" s="732"/>
      <c r="E323" s="732"/>
      <c r="F323" s="732"/>
      <c r="G323" s="732"/>
      <c r="H323" s="732"/>
      <c r="I323" s="732"/>
      <c r="J323" s="732"/>
      <c r="K323" s="732"/>
      <c r="L323" s="732"/>
      <c r="M323" s="732"/>
      <c r="N323" s="733"/>
    </row>
    <row r="324" spans="2:26" ht="13.5" customHeight="1" x14ac:dyDescent="0.2">
      <c r="C324" s="731"/>
      <c r="D324" s="732"/>
      <c r="E324" s="732"/>
      <c r="F324" s="732"/>
      <c r="G324" s="732"/>
      <c r="H324" s="732"/>
      <c r="I324" s="732"/>
      <c r="J324" s="732"/>
      <c r="K324" s="732"/>
      <c r="L324" s="732"/>
      <c r="M324" s="732"/>
      <c r="N324" s="733"/>
    </row>
    <row r="325" spans="2:26" ht="13.5" customHeight="1" x14ac:dyDescent="0.2">
      <c r="C325" s="731"/>
      <c r="D325" s="732"/>
      <c r="E325" s="732"/>
      <c r="F325" s="732"/>
      <c r="G325" s="732"/>
      <c r="H325" s="732"/>
      <c r="I325" s="732"/>
      <c r="J325" s="732"/>
      <c r="K325" s="732"/>
      <c r="L325" s="732"/>
      <c r="M325" s="732"/>
      <c r="N325" s="733"/>
    </row>
    <row r="326" spans="2:26" ht="13.5" customHeight="1" x14ac:dyDescent="0.2">
      <c r="C326" s="731"/>
      <c r="D326" s="732"/>
      <c r="E326" s="732"/>
      <c r="F326" s="732"/>
      <c r="G326" s="732"/>
      <c r="H326" s="732"/>
      <c r="I326" s="732"/>
      <c r="J326" s="732"/>
      <c r="K326" s="732"/>
      <c r="L326" s="732"/>
      <c r="M326" s="732"/>
      <c r="N326" s="733"/>
    </row>
    <row r="327" spans="2:26" ht="13.5" customHeight="1" x14ac:dyDescent="0.2">
      <c r="C327" s="731"/>
      <c r="D327" s="732"/>
      <c r="E327" s="732"/>
      <c r="F327" s="732"/>
      <c r="G327" s="732"/>
      <c r="H327" s="732"/>
      <c r="I327" s="732"/>
      <c r="J327" s="732"/>
      <c r="K327" s="732"/>
      <c r="L327" s="732"/>
      <c r="M327" s="732"/>
      <c r="N327" s="733"/>
    </row>
    <row r="328" spans="2:26" ht="13.5" customHeight="1" x14ac:dyDescent="0.2">
      <c r="C328" s="731"/>
      <c r="D328" s="732"/>
      <c r="E328" s="732"/>
      <c r="F328" s="732"/>
      <c r="G328" s="732"/>
      <c r="H328" s="732"/>
      <c r="I328" s="732"/>
      <c r="J328" s="732"/>
      <c r="K328" s="732"/>
      <c r="L328" s="732"/>
      <c r="M328" s="732"/>
      <c r="N328" s="733"/>
    </row>
    <row r="329" spans="2:26" ht="13.5" customHeight="1" x14ac:dyDescent="0.2">
      <c r="C329" s="731"/>
      <c r="D329" s="732"/>
      <c r="E329" s="732"/>
      <c r="F329" s="732"/>
      <c r="G329" s="732"/>
      <c r="H329" s="732"/>
      <c r="I329" s="732"/>
      <c r="J329" s="732"/>
      <c r="K329" s="732"/>
      <c r="L329" s="732"/>
      <c r="M329" s="732"/>
      <c r="N329" s="733"/>
    </row>
    <row r="330" spans="2:26" ht="13.5" customHeight="1" x14ac:dyDescent="0.2">
      <c r="C330" s="731"/>
      <c r="D330" s="732"/>
      <c r="E330" s="732"/>
      <c r="F330" s="732"/>
      <c r="G330" s="732"/>
      <c r="H330" s="732"/>
      <c r="I330" s="732"/>
      <c r="J330" s="732"/>
      <c r="K330" s="732"/>
      <c r="L330" s="732"/>
      <c r="M330" s="732"/>
      <c r="N330" s="733"/>
    </row>
    <row r="331" spans="2:26" ht="13.5" customHeight="1" x14ac:dyDescent="0.2">
      <c r="C331" s="731"/>
      <c r="D331" s="732"/>
      <c r="E331" s="732"/>
      <c r="F331" s="732"/>
      <c r="G331" s="732"/>
      <c r="H331" s="732"/>
      <c r="I331" s="732"/>
      <c r="J331" s="732"/>
      <c r="K331" s="732"/>
      <c r="L331" s="732"/>
      <c r="M331" s="732"/>
      <c r="N331" s="733"/>
    </row>
    <row r="332" spans="2:26" ht="13.5" customHeight="1" x14ac:dyDescent="0.2">
      <c r="C332" s="731"/>
      <c r="D332" s="732"/>
      <c r="E332" s="732"/>
      <c r="F332" s="732"/>
      <c r="G332" s="732"/>
      <c r="H332" s="732"/>
      <c r="I332" s="732"/>
      <c r="J332" s="732"/>
      <c r="K332" s="732"/>
      <c r="L332" s="732"/>
      <c r="M332" s="732"/>
      <c r="N332" s="733"/>
    </row>
    <row r="333" spans="2:26" ht="13.5" customHeight="1" x14ac:dyDescent="0.2">
      <c r="C333" s="731"/>
      <c r="D333" s="732"/>
      <c r="E333" s="732"/>
      <c r="F333" s="732"/>
      <c r="G333" s="732"/>
      <c r="H333" s="732"/>
      <c r="I333" s="732"/>
      <c r="J333" s="732"/>
      <c r="K333" s="732"/>
      <c r="L333" s="732"/>
      <c r="M333" s="732"/>
      <c r="N333" s="733"/>
    </row>
    <row r="334" spans="2:26" ht="13.5" customHeight="1" x14ac:dyDescent="0.2">
      <c r="C334" s="731"/>
      <c r="D334" s="732"/>
      <c r="E334" s="732"/>
      <c r="F334" s="732"/>
      <c r="G334" s="732"/>
      <c r="H334" s="732"/>
      <c r="I334" s="732"/>
      <c r="J334" s="732"/>
      <c r="K334" s="732"/>
      <c r="L334" s="732"/>
      <c r="M334" s="732"/>
      <c r="N334" s="733"/>
    </row>
    <row r="335" spans="2:26" ht="13.5" customHeight="1" x14ac:dyDescent="0.2">
      <c r="C335" s="731"/>
      <c r="D335" s="732"/>
      <c r="E335" s="732"/>
      <c r="F335" s="732"/>
      <c r="G335" s="732"/>
      <c r="H335" s="732"/>
      <c r="I335" s="732"/>
      <c r="J335" s="732"/>
      <c r="K335" s="732"/>
      <c r="L335" s="732"/>
      <c r="M335" s="732"/>
      <c r="N335" s="733"/>
    </row>
    <row r="336" spans="2:26" ht="13.5" customHeight="1" x14ac:dyDescent="0.2">
      <c r="C336" s="731"/>
      <c r="D336" s="732"/>
      <c r="E336" s="732"/>
      <c r="F336" s="732"/>
      <c r="G336" s="732"/>
      <c r="H336" s="732"/>
      <c r="I336" s="732"/>
      <c r="J336" s="732"/>
      <c r="K336" s="732"/>
      <c r="L336" s="732"/>
      <c r="M336" s="732"/>
      <c r="N336" s="733"/>
    </row>
    <row r="337" spans="3:14" ht="13.5" customHeight="1" x14ac:dyDescent="0.2">
      <c r="C337" s="731"/>
      <c r="D337" s="732"/>
      <c r="E337" s="732"/>
      <c r="F337" s="732"/>
      <c r="G337" s="732"/>
      <c r="H337" s="732"/>
      <c r="I337" s="732"/>
      <c r="J337" s="732"/>
      <c r="K337" s="732"/>
      <c r="L337" s="732"/>
      <c r="M337" s="732"/>
      <c r="N337" s="733"/>
    </row>
    <row r="338" spans="3:14" ht="13.5" customHeight="1" x14ac:dyDescent="0.2">
      <c r="C338" s="731"/>
      <c r="D338" s="732"/>
      <c r="E338" s="732"/>
      <c r="F338" s="732"/>
      <c r="G338" s="732"/>
      <c r="H338" s="732"/>
      <c r="I338" s="732"/>
      <c r="J338" s="732"/>
      <c r="K338" s="732"/>
      <c r="L338" s="732"/>
      <c r="M338" s="732"/>
      <c r="N338" s="733"/>
    </row>
    <row r="339" spans="3:14" ht="13.5" customHeight="1" x14ac:dyDescent="0.2">
      <c r="C339" s="731"/>
      <c r="D339" s="732"/>
      <c r="E339" s="732"/>
      <c r="F339" s="732"/>
      <c r="G339" s="732"/>
      <c r="H339" s="732"/>
      <c r="I339" s="732"/>
      <c r="J339" s="732"/>
      <c r="K339" s="732"/>
      <c r="L339" s="732"/>
      <c r="M339" s="732"/>
      <c r="N339" s="733"/>
    </row>
    <row r="340" spans="3:14" ht="13.5" customHeight="1" x14ac:dyDescent="0.2">
      <c r="C340" s="731"/>
      <c r="D340" s="732"/>
      <c r="E340" s="732"/>
      <c r="F340" s="732"/>
      <c r="G340" s="732"/>
      <c r="H340" s="732"/>
      <c r="I340" s="732"/>
      <c r="J340" s="732"/>
      <c r="K340" s="732"/>
      <c r="L340" s="732"/>
      <c r="M340" s="732"/>
      <c r="N340" s="733"/>
    </row>
    <row r="341" spans="3:14" ht="13.5" customHeight="1" x14ac:dyDescent="0.2">
      <c r="C341" s="731"/>
      <c r="D341" s="732"/>
      <c r="E341" s="732"/>
      <c r="F341" s="732"/>
      <c r="G341" s="732"/>
      <c r="H341" s="732"/>
      <c r="I341" s="732"/>
      <c r="J341" s="732"/>
      <c r="K341" s="732"/>
      <c r="L341" s="732"/>
      <c r="M341" s="732"/>
      <c r="N341" s="733"/>
    </row>
    <row r="342" spans="3:14" ht="13.5" customHeight="1" x14ac:dyDescent="0.2">
      <c r="C342" s="731"/>
      <c r="D342" s="732"/>
      <c r="E342" s="732"/>
      <c r="F342" s="732"/>
      <c r="G342" s="732"/>
      <c r="H342" s="732"/>
      <c r="I342" s="732"/>
      <c r="J342" s="732"/>
      <c r="K342" s="732"/>
      <c r="L342" s="732"/>
      <c r="M342" s="732"/>
      <c r="N342" s="733"/>
    </row>
    <row r="343" spans="3:14" ht="13.5" customHeight="1" x14ac:dyDescent="0.2">
      <c r="C343" s="731"/>
      <c r="D343" s="732"/>
      <c r="E343" s="732"/>
      <c r="F343" s="732"/>
      <c r="G343" s="732"/>
      <c r="H343" s="732"/>
      <c r="I343" s="732"/>
      <c r="J343" s="732"/>
      <c r="K343" s="732"/>
      <c r="L343" s="732"/>
      <c r="M343" s="732"/>
      <c r="N343" s="733"/>
    </row>
    <row r="344" spans="3:14" ht="13.5" customHeight="1" x14ac:dyDescent="0.2">
      <c r="C344" s="731"/>
      <c r="D344" s="732"/>
      <c r="E344" s="732"/>
      <c r="F344" s="732"/>
      <c r="G344" s="732"/>
      <c r="H344" s="732"/>
      <c r="I344" s="732"/>
      <c r="J344" s="732"/>
      <c r="K344" s="732"/>
      <c r="L344" s="732"/>
      <c r="M344" s="732"/>
      <c r="N344" s="733"/>
    </row>
    <row r="345" spans="3:14" ht="13.5" customHeight="1" x14ac:dyDescent="0.2">
      <c r="C345" s="731"/>
      <c r="D345" s="732"/>
      <c r="E345" s="732"/>
      <c r="F345" s="732"/>
      <c r="G345" s="732"/>
      <c r="H345" s="732"/>
      <c r="I345" s="732"/>
      <c r="J345" s="732"/>
      <c r="K345" s="732"/>
      <c r="L345" s="732"/>
      <c r="M345" s="732"/>
      <c r="N345" s="733"/>
    </row>
    <row r="346" spans="3:14" ht="13.5" customHeight="1" x14ac:dyDescent="0.2">
      <c r="C346" s="731"/>
      <c r="D346" s="732"/>
      <c r="E346" s="732"/>
      <c r="F346" s="732"/>
      <c r="G346" s="732"/>
      <c r="H346" s="732"/>
      <c r="I346" s="732"/>
      <c r="J346" s="732"/>
      <c r="K346" s="732"/>
      <c r="L346" s="732"/>
      <c r="M346" s="732"/>
      <c r="N346" s="733"/>
    </row>
    <row r="347" spans="3:14" ht="13.5" customHeight="1" x14ac:dyDescent="0.2">
      <c r="C347" s="731"/>
      <c r="D347" s="732"/>
      <c r="E347" s="732"/>
      <c r="F347" s="732"/>
      <c r="G347" s="732"/>
      <c r="H347" s="732"/>
      <c r="I347" s="732"/>
      <c r="J347" s="732"/>
      <c r="K347" s="732"/>
      <c r="L347" s="732"/>
      <c r="M347" s="732"/>
      <c r="N347" s="733"/>
    </row>
    <row r="348" spans="3:14" ht="13.5" customHeight="1" x14ac:dyDescent="0.2">
      <c r="C348" s="731"/>
      <c r="D348" s="732"/>
      <c r="E348" s="732"/>
      <c r="F348" s="732"/>
      <c r="G348" s="732"/>
      <c r="H348" s="732"/>
      <c r="I348" s="732"/>
      <c r="J348" s="732"/>
      <c r="K348" s="732"/>
      <c r="L348" s="732"/>
      <c r="M348" s="732"/>
      <c r="N348" s="733"/>
    </row>
    <row r="349" spans="3:14" ht="13.5" customHeight="1" x14ac:dyDescent="0.2">
      <c r="C349" s="731"/>
      <c r="D349" s="732"/>
      <c r="E349" s="732"/>
      <c r="F349" s="732"/>
      <c r="G349" s="732"/>
      <c r="H349" s="732"/>
      <c r="I349" s="732"/>
      <c r="J349" s="732"/>
      <c r="K349" s="732"/>
      <c r="L349" s="732"/>
      <c r="M349" s="732"/>
      <c r="N349" s="733"/>
    </row>
    <row r="350" spans="3:14" ht="13.5" customHeight="1" x14ac:dyDescent="0.2">
      <c r="C350" s="731"/>
      <c r="D350" s="732"/>
      <c r="E350" s="732"/>
      <c r="F350" s="732"/>
      <c r="G350" s="732"/>
      <c r="H350" s="732"/>
      <c r="I350" s="732"/>
      <c r="J350" s="732"/>
      <c r="K350" s="732"/>
      <c r="L350" s="732"/>
      <c r="M350" s="732"/>
      <c r="N350" s="733"/>
    </row>
    <row r="351" spans="3:14" ht="13.5" customHeight="1" x14ac:dyDescent="0.2">
      <c r="C351" s="731"/>
      <c r="D351" s="732"/>
      <c r="E351" s="732"/>
      <c r="F351" s="732"/>
      <c r="G351" s="732"/>
      <c r="H351" s="732"/>
      <c r="I351" s="732"/>
      <c r="J351" s="732"/>
      <c r="K351" s="732"/>
      <c r="L351" s="732"/>
      <c r="M351" s="732"/>
      <c r="N351" s="733"/>
    </row>
    <row r="352" spans="3:14" ht="13.5" customHeight="1" x14ac:dyDescent="0.2">
      <c r="C352" s="731"/>
      <c r="D352" s="732"/>
      <c r="E352" s="732"/>
      <c r="F352" s="732"/>
      <c r="G352" s="732"/>
      <c r="H352" s="732"/>
      <c r="I352" s="732"/>
      <c r="J352" s="732"/>
      <c r="K352" s="732"/>
      <c r="L352" s="732"/>
      <c r="M352" s="732"/>
      <c r="N352" s="733"/>
    </row>
    <row r="353" spans="3:14" ht="13.5" customHeight="1" x14ac:dyDescent="0.2">
      <c r="C353" s="731"/>
      <c r="D353" s="732"/>
      <c r="E353" s="732"/>
      <c r="F353" s="732"/>
      <c r="G353" s="732"/>
      <c r="H353" s="732"/>
      <c r="I353" s="732"/>
      <c r="J353" s="732"/>
      <c r="K353" s="732"/>
      <c r="L353" s="732"/>
      <c r="M353" s="732"/>
      <c r="N353" s="733"/>
    </row>
    <row r="354" spans="3:14" ht="13.5" customHeight="1" x14ac:dyDescent="0.2">
      <c r="C354" s="731"/>
      <c r="D354" s="732"/>
      <c r="E354" s="732"/>
      <c r="F354" s="732"/>
      <c r="G354" s="732"/>
      <c r="H354" s="732"/>
      <c r="I354" s="732"/>
      <c r="J354" s="732"/>
      <c r="K354" s="732"/>
      <c r="L354" s="732"/>
      <c r="M354" s="732"/>
      <c r="N354" s="733"/>
    </row>
    <row r="355" spans="3:14" ht="13.5" customHeight="1" x14ac:dyDescent="0.2">
      <c r="C355" s="731"/>
      <c r="D355" s="732"/>
      <c r="E355" s="732"/>
      <c r="F355" s="732"/>
      <c r="G355" s="732"/>
      <c r="H355" s="732"/>
      <c r="I355" s="732"/>
      <c r="J355" s="732"/>
      <c r="K355" s="732"/>
      <c r="L355" s="732"/>
      <c r="M355" s="732"/>
      <c r="N355" s="733"/>
    </row>
    <row r="356" spans="3:14" ht="13.5" customHeight="1" x14ac:dyDescent="0.2">
      <c r="C356" s="731"/>
      <c r="D356" s="732"/>
      <c r="E356" s="732"/>
      <c r="F356" s="732"/>
      <c r="G356" s="732"/>
      <c r="H356" s="732"/>
      <c r="I356" s="732"/>
      <c r="J356" s="732"/>
      <c r="K356" s="732"/>
      <c r="L356" s="732"/>
      <c r="M356" s="732"/>
      <c r="N356" s="733"/>
    </row>
    <row r="357" spans="3:14" ht="13.5" customHeight="1" x14ac:dyDescent="0.2">
      <c r="C357" s="731"/>
      <c r="D357" s="732"/>
      <c r="E357" s="732"/>
      <c r="F357" s="732"/>
      <c r="G357" s="732"/>
      <c r="H357" s="732"/>
      <c r="I357" s="732"/>
      <c r="J357" s="732"/>
      <c r="K357" s="732"/>
      <c r="L357" s="732"/>
      <c r="M357" s="732"/>
      <c r="N357" s="733"/>
    </row>
    <row r="358" spans="3:14" ht="13.5" customHeight="1" x14ac:dyDescent="0.2">
      <c r="C358" s="734"/>
      <c r="D358" s="735"/>
      <c r="E358" s="735"/>
      <c r="F358" s="735"/>
      <c r="G358" s="735"/>
      <c r="H358" s="735"/>
      <c r="I358" s="735"/>
      <c r="J358" s="735"/>
      <c r="K358" s="735"/>
      <c r="L358" s="735"/>
      <c r="M358" s="735"/>
      <c r="N358" s="736"/>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13" t="s">
        <v>468</v>
      </c>
      <c r="D376" s="729"/>
      <c r="E376" s="729"/>
      <c r="F376" s="729"/>
      <c r="G376" s="729"/>
      <c r="H376" s="729"/>
      <c r="I376" s="729"/>
      <c r="J376" s="729"/>
      <c r="K376" s="729"/>
      <c r="L376" s="729"/>
      <c r="M376" s="729"/>
      <c r="N376" s="752"/>
    </row>
    <row r="377" spans="3:14" ht="13.5" customHeight="1" x14ac:dyDescent="0.2">
      <c r="C377" s="731"/>
      <c r="D377" s="732"/>
      <c r="E377" s="732"/>
      <c r="F377" s="732"/>
      <c r="G377" s="732"/>
      <c r="H377" s="732"/>
      <c r="I377" s="732"/>
      <c r="J377" s="732"/>
      <c r="K377" s="732"/>
      <c r="L377" s="732"/>
      <c r="M377" s="732"/>
      <c r="N377" s="733"/>
    </row>
    <row r="378" spans="3:14" ht="13.5" customHeight="1" x14ac:dyDescent="0.2">
      <c r="C378" s="731"/>
      <c r="D378" s="732"/>
      <c r="E378" s="732"/>
      <c r="F378" s="732"/>
      <c r="G378" s="732"/>
      <c r="H378" s="732"/>
      <c r="I378" s="732"/>
      <c r="J378" s="732"/>
      <c r="K378" s="732"/>
      <c r="L378" s="732"/>
      <c r="M378" s="732"/>
      <c r="N378" s="733"/>
    </row>
    <row r="379" spans="3:14" ht="13.5" customHeight="1" x14ac:dyDescent="0.2">
      <c r="C379" s="731"/>
      <c r="D379" s="732"/>
      <c r="E379" s="732"/>
      <c r="F379" s="732"/>
      <c r="G379" s="732"/>
      <c r="H379" s="732"/>
      <c r="I379" s="732"/>
      <c r="J379" s="732"/>
      <c r="K379" s="732"/>
      <c r="L379" s="732"/>
      <c r="M379" s="732"/>
      <c r="N379" s="733"/>
    </row>
    <row r="380" spans="3:14" ht="13.5" customHeight="1" x14ac:dyDescent="0.2">
      <c r="C380" s="731"/>
      <c r="D380" s="732"/>
      <c r="E380" s="732"/>
      <c r="F380" s="732"/>
      <c r="G380" s="732"/>
      <c r="H380" s="732"/>
      <c r="I380" s="732"/>
      <c r="J380" s="732"/>
      <c r="K380" s="732"/>
      <c r="L380" s="732"/>
      <c r="M380" s="732"/>
      <c r="N380" s="733"/>
    </row>
    <row r="381" spans="3:14" ht="13.5" customHeight="1" x14ac:dyDescent="0.2">
      <c r="C381" s="731"/>
      <c r="D381" s="732"/>
      <c r="E381" s="732"/>
      <c r="F381" s="732"/>
      <c r="G381" s="732"/>
      <c r="H381" s="732"/>
      <c r="I381" s="732"/>
      <c r="J381" s="732"/>
      <c r="K381" s="732"/>
      <c r="L381" s="732"/>
      <c r="M381" s="732"/>
      <c r="N381" s="733"/>
    </row>
    <row r="382" spans="3:14" ht="13.5" customHeight="1" x14ac:dyDescent="0.2">
      <c r="C382" s="731"/>
      <c r="D382" s="732"/>
      <c r="E382" s="732"/>
      <c r="F382" s="732"/>
      <c r="G382" s="732"/>
      <c r="H382" s="732"/>
      <c r="I382" s="732"/>
      <c r="J382" s="732"/>
      <c r="K382" s="732"/>
      <c r="L382" s="732"/>
      <c r="M382" s="732"/>
      <c r="N382" s="733"/>
    </row>
    <row r="383" spans="3:14" ht="13.5" customHeight="1" x14ac:dyDescent="0.2">
      <c r="C383" s="731"/>
      <c r="D383" s="732"/>
      <c r="E383" s="732"/>
      <c r="F383" s="732"/>
      <c r="G383" s="732"/>
      <c r="H383" s="732"/>
      <c r="I383" s="732"/>
      <c r="J383" s="732"/>
      <c r="K383" s="732"/>
      <c r="L383" s="732"/>
      <c r="M383" s="732"/>
      <c r="N383" s="733"/>
    </row>
    <row r="384" spans="3:14" ht="13.5" customHeight="1" x14ac:dyDescent="0.2">
      <c r="C384" s="731"/>
      <c r="D384" s="732"/>
      <c r="E384" s="732"/>
      <c r="F384" s="732"/>
      <c r="G384" s="732"/>
      <c r="H384" s="732"/>
      <c r="I384" s="732"/>
      <c r="J384" s="732"/>
      <c r="K384" s="732"/>
      <c r="L384" s="732"/>
      <c r="M384" s="732"/>
      <c r="N384" s="733"/>
    </row>
    <row r="385" spans="3:14" ht="13.5" customHeight="1" x14ac:dyDescent="0.2">
      <c r="C385" s="731"/>
      <c r="D385" s="732"/>
      <c r="E385" s="732"/>
      <c r="F385" s="732"/>
      <c r="G385" s="732"/>
      <c r="H385" s="732"/>
      <c r="I385" s="732"/>
      <c r="J385" s="732"/>
      <c r="K385" s="732"/>
      <c r="L385" s="732"/>
      <c r="M385" s="732"/>
      <c r="N385" s="733"/>
    </row>
    <row r="386" spans="3:14" ht="13.5" customHeight="1" x14ac:dyDescent="0.2">
      <c r="C386" s="731"/>
      <c r="D386" s="732"/>
      <c r="E386" s="732"/>
      <c r="F386" s="732"/>
      <c r="G386" s="732"/>
      <c r="H386" s="732"/>
      <c r="I386" s="732"/>
      <c r="J386" s="732"/>
      <c r="K386" s="732"/>
      <c r="L386" s="732"/>
      <c r="M386" s="732"/>
      <c r="N386" s="733"/>
    </row>
    <row r="387" spans="3:14" ht="13.5" customHeight="1" x14ac:dyDescent="0.2">
      <c r="C387" s="731"/>
      <c r="D387" s="732"/>
      <c r="E387" s="732"/>
      <c r="F387" s="732"/>
      <c r="G387" s="732"/>
      <c r="H387" s="732"/>
      <c r="I387" s="732"/>
      <c r="J387" s="732"/>
      <c r="K387" s="732"/>
      <c r="L387" s="732"/>
      <c r="M387" s="732"/>
      <c r="N387" s="733"/>
    </row>
    <row r="388" spans="3:14" ht="13.5" customHeight="1" x14ac:dyDescent="0.2">
      <c r="C388" s="731"/>
      <c r="D388" s="732"/>
      <c r="E388" s="732"/>
      <c r="F388" s="732"/>
      <c r="G388" s="732"/>
      <c r="H388" s="732"/>
      <c r="I388" s="732"/>
      <c r="J388" s="732"/>
      <c r="K388" s="732"/>
      <c r="L388" s="732"/>
      <c r="M388" s="732"/>
      <c r="N388" s="733"/>
    </row>
    <row r="389" spans="3:14" ht="13.5" customHeight="1" x14ac:dyDescent="0.2">
      <c r="C389" s="731"/>
      <c r="D389" s="732"/>
      <c r="E389" s="732"/>
      <c r="F389" s="732"/>
      <c r="G389" s="732"/>
      <c r="H389" s="732"/>
      <c r="I389" s="732"/>
      <c r="J389" s="732"/>
      <c r="K389" s="732"/>
      <c r="L389" s="732"/>
      <c r="M389" s="732"/>
      <c r="N389" s="733"/>
    </row>
    <row r="390" spans="3:14" ht="13.5" customHeight="1" x14ac:dyDescent="0.2">
      <c r="C390" s="731"/>
      <c r="D390" s="732"/>
      <c r="E390" s="732"/>
      <c r="F390" s="732"/>
      <c r="G390" s="732"/>
      <c r="H390" s="732"/>
      <c r="I390" s="732"/>
      <c r="J390" s="732"/>
      <c r="K390" s="732"/>
      <c r="L390" s="732"/>
      <c r="M390" s="732"/>
      <c r="N390" s="733"/>
    </row>
    <row r="391" spans="3:14" ht="13.5" customHeight="1" x14ac:dyDescent="0.2">
      <c r="C391" s="731"/>
      <c r="D391" s="732"/>
      <c r="E391" s="732"/>
      <c r="F391" s="732"/>
      <c r="G391" s="732"/>
      <c r="H391" s="732"/>
      <c r="I391" s="732"/>
      <c r="J391" s="732"/>
      <c r="K391" s="732"/>
      <c r="L391" s="732"/>
      <c r="M391" s="732"/>
      <c r="N391" s="733"/>
    </row>
    <row r="392" spans="3:14" ht="13.5" customHeight="1" x14ac:dyDescent="0.2">
      <c r="C392" s="731"/>
      <c r="D392" s="732"/>
      <c r="E392" s="732"/>
      <c r="F392" s="732"/>
      <c r="G392" s="732"/>
      <c r="H392" s="732"/>
      <c r="I392" s="732"/>
      <c r="J392" s="732"/>
      <c r="K392" s="732"/>
      <c r="L392" s="732"/>
      <c r="M392" s="732"/>
      <c r="N392" s="733"/>
    </row>
    <row r="393" spans="3:14" ht="13.5" customHeight="1" x14ac:dyDescent="0.2">
      <c r="C393" s="731"/>
      <c r="D393" s="732"/>
      <c r="E393" s="732"/>
      <c r="F393" s="732"/>
      <c r="G393" s="732"/>
      <c r="H393" s="732"/>
      <c r="I393" s="732"/>
      <c r="J393" s="732"/>
      <c r="K393" s="732"/>
      <c r="L393" s="732"/>
      <c r="M393" s="732"/>
      <c r="N393" s="733"/>
    </row>
    <row r="394" spans="3:14" ht="13.5" customHeight="1" x14ac:dyDescent="0.2">
      <c r="C394" s="731"/>
      <c r="D394" s="732"/>
      <c r="E394" s="732"/>
      <c r="F394" s="732"/>
      <c r="G394" s="732"/>
      <c r="H394" s="732"/>
      <c r="I394" s="732"/>
      <c r="J394" s="732"/>
      <c r="K394" s="732"/>
      <c r="L394" s="732"/>
      <c r="M394" s="732"/>
      <c r="N394" s="733"/>
    </row>
    <row r="395" spans="3:14" ht="13.5" customHeight="1" x14ac:dyDescent="0.2">
      <c r="C395" s="731"/>
      <c r="D395" s="732"/>
      <c r="E395" s="732"/>
      <c r="F395" s="732"/>
      <c r="G395" s="732"/>
      <c r="H395" s="732"/>
      <c r="I395" s="732"/>
      <c r="J395" s="732"/>
      <c r="K395" s="732"/>
      <c r="L395" s="732"/>
      <c r="M395" s="732"/>
      <c r="N395" s="733"/>
    </row>
    <row r="396" spans="3:14" ht="13.5" customHeight="1" x14ac:dyDescent="0.2">
      <c r="C396" s="731"/>
      <c r="D396" s="732"/>
      <c r="E396" s="732"/>
      <c r="F396" s="732"/>
      <c r="G396" s="732"/>
      <c r="H396" s="732"/>
      <c r="I396" s="732"/>
      <c r="J396" s="732"/>
      <c r="K396" s="732"/>
      <c r="L396" s="732"/>
      <c r="M396" s="732"/>
      <c r="N396" s="733"/>
    </row>
    <row r="397" spans="3:14" ht="13.5" customHeight="1" x14ac:dyDescent="0.2">
      <c r="C397" s="731"/>
      <c r="D397" s="732"/>
      <c r="E397" s="732"/>
      <c r="F397" s="732"/>
      <c r="G397" s="732"/>
      <c r="H397" s="732"/>
      <c r="I397" s="732"/>
      <c r="J397" s="732"/>
      <c r="K397" s="732"/>
      <c r="L397" s="732"/>
      <c r="M397" s="732"/>
      <c r="N397" s="733"/>
    </row>
    <row r="398" spans="3:14" ht="13.5" customHeight="1" x14ac:dyDescent="0.2">
      <c r="C398" s="731"/>
      <c r="D398" s="732"/>
      <c r="E398" s="732"/>
      <c r="F398" s="732"/>
      <c r="G398" s="732"/>
      <c r="H398" s="732"/>
      <c r="I398" s="732"/>
      <c r="J398" s="732"/>
      <c r="K398" s="732"/>
      <c r="L398" s="732"/>
      <c r="M398" s="732"/>
      <c r="N398" s="733"/>
    </row>
    <row r="399" spans="3:14" ht="13.5" customHeight="1" x14ac:dyDescent="0.2">
      <c r="C399" s="731"/>
      <c r="D399" s="732"/>
      <c r="E399" s="732"/>
      <c r="F399" s="732"/>
      <c r="G399" s="732"/>
      <c r="H399" s="732"/>
      <c r="I399" s="732"/>
      <c r="J399" s="732"/>
      <c r="K399" s="732"/>
      <c r="L399" s="732"/>
      <c r="M399" s="732"/>
      <c r="N399" s="733"/>
    </row>
    <row r="400" spans="3:14" ht="13.5" customHeight="1" x14ac:dyDescent="0.2">
      <c r="C400" s="731"/>
      <c r="D400" s="732"/>
      <c r="E400" s="732"/>
      <c r="F400" s="732"/>
      <c r="G400" s="732"/>
      <c r="H400" s="732"/>
      <c r="I400" s="732"/>
      <c r="J400" s="732"/>
      <c r="K400" s="732"/>
      <c r="L400" s="732"/>
      <c r="M400" s="732"/>
      <c r="N400" s="733"/>
    </row>
    <row r="401" spans="3:14" ht="13.5" customHeight="1" x14ac:dyDescent="0.2">
      <c r="C401" s="731"/>
      <c r="D401" s="732"/>
      <c r="E401" s="732"/>
      <c r="F401" s="732"/>
      <c r="G401" s="732"/>
      <c r="H401" s="732"/>
      <c r="I401" s="732"/>
      <c r="J401" s="732"/>
      <c r="K401" s="732"/>
      <c r="L401" s="732"/>
      <c r="M401" s="732"/>
      <c r="N401" s="733"/>
    </row>
    <row r="402" spans="3:14" ht="13.5" customHeight="1" x14ac:dyDescent="0.2">
      <c r="C402" s="731"/>
      <c r="D402" s="732"/>
      <c r="E402" s="732"/>
      <c r="F402" s="732"/>
      <c r="G402" s="732"/>
      <c r="H402" s="732"/>
      <c r="I402" s="732"/>
      <c r="J402" s="732"/>
      <c r="K402" s="732"/>
      <c r="L402" s="732"/>
      <c r="M402" s="732"/>
      <c r="N402" s="733"/>
    </row>
    <row r="403" spans="3:14" ht="13.5" customHeight="1" x14ac:dyDescent="0.2">
      <c r="C403" s="731"/>
      <c r="D403" s="732"/>
      <c r="E403" s="732"/>
      <c r="F403" s="732"/>
      <c r="G403" s="732"/>
      <c r="H403" s="732"/>
      <c r="I403" s="732"/>
      <c r="J403" s="732"/>
      <c r="K403" s="732"/>
      <c r="L403" s="732"/>
      <c r="M403" s="732"/>
      <c r="N403" s="733"/>
    </row>
    <row r="404" spans="3:14" ht="13.5" customHeight="1" x14ac:dyDescent="0.2">
      <c r="C404" s="731"/>
      <c r="D404" s="732"/>
      <c r="E404" s="732"/>
      <c r="F404" s="732"/>
      <c r="G404" s="732"/>
      <c r="H404" s="732"/>
      <c r="I404" s="732"/>
      <c r="J404" s="732"/>
      <c r="K404" s="732"/>
      <c r="L404" s="732"/>
      <c r="M404" s="732"/>
      <c r="N404" s="733"/>
    </row>
    <row r="405" spans="3:14" ht="13.5" customHeight="1" x14ac:dyDescent="0.2">
      <c r="C405" s="731"/>
      <c r="D405" s="732"/>
      <c r="E405" s="732"/>
      <c r="F405" s="732"/>
      <c r="G405" s="732"/>
      <c r="H405" s="732"/>
      <c r="I405" s="732"/>
      <c r="J405" s="732"/>
      <c r="K405" s="732"/>
      <c r="L405" s="732"/>
      <c r="M405" s="732"/>
      <c r="N405" s="733"/>
    </row>
    <row r="406" spans="3:14" ht="13.5" customHeight="1" x14ac:dyDescent="0.2">
      <c r="C406" s="731"/>
      <c r="D406" s="732"/>
      <c r="E406" s="732"/>
      <c r="F406" s="732"/>
      <c r="G406" s="732"/>
      <c r="H406" s="732"/>
      <c r="I406" s="732"/>
      <c r="J406" s="732"/>
      <c r="K406" s="732"/>
      <c r="L406" s="732"/>
      <c r="M406" s="732"/>
      <c r="N406" s="733"/>
    </row>
    <row r="407" spans="3:14" ht="13.5" customHeight="1" x14ac:dyDescent="0.2">
      <c r="C407" s="731"/>
      <c r="D407" s="732"/>
      <c r="E407" s="732"/>
      <c r="F407" s="732"/>
      <c r="G407" s="732"/>
      <c r="H407" s="732"/>
      <c r="I407" s="732"/>
      <c r="J407" s="732"/>
      <c r="K407" s="732"/>
      <c r="L407" s="732"/>
      <c r="M407" s="732"/>
      <c r="N407" s="733"/>
    </row>
    <row r="408" spans="3:14" ht="13.5" customHeight="1" x14ac:dyDescent="0.2">
      <c r="C408" s="731"/>
      <c r="D408" s="732"/>
      <c r="E408" s="732"/>
      <c r="F408" s="732"/>
      <c r="G408" s="732"/>
      <c r="H408" s="732"/>
      <c r="I408" s="732"/>
      <c r="J408" s="732"/>
      <c r="K408" s="732"/>
      <c r="L408" s="732"/>
      <c r="M408" s="732"/>
      <c r="N408" s="733"/>
    </row>
    <row r="409" spans="3:14" ht="13.5" customHeight="1" x14ac:dyDescent="0.2">
      <c r="C409" s="731"/>
      <c r="D409" s="732"/>
      <c r="E409" s="732"/>
      <c r="F409" s="732"/>
      <c r="G409" s="732"/>
      <c r="H409" s="732"/>
      <c r="I409" s="732"/>
      <c r="J409" s="732"/>
      <c r="K409" s="732"/>
      <c r="L409" s="732"/>
      <c r="M409" s="732"/>
      <c r="N409" s="733"/>
    </row>
    <row r="410" spans="3:14" ht="13.5" customHeight="1" x14ac:dyDescent="0.2">
      <c r="C410" s="731"/>
      <c r="D410" s="732"/>
      <c r="E410" s="732"/>
      <c r="F410" s="732"/>
      <c r="G410" s="732"/>
      <c r="H410" s="732"/>
      <c r="I410" s="732"/>
      <c r="J410" s="732"/>
      <c r="K410" s="732"/>
      <c r="L410" s="732"/>
      <c r="M410" s="732"/>
      <c r="N410" s="733"/>
    </row>
    <row r="411" spans="3:14" ht="13.5" customHeight="1" x14ac:dyDescent="0.2">
      <c r="C411" s="731"/>
      <c r="D411" s="732"/>
      <c r="E411" s="732"/>
      <c r="F411" s="732"/>
      <c r="G411" s="732"/>
      <c r="H411" s="732"/>
      <c r="I411" s="732"/>
      <c r="J411" s="732"/>
      <c r="K411" s="732"/>
      <c r="L411" s="732"/>
      <c r="M411" s="732"/>
      <c r="N411" s="733"/>
    </row>
    <row r="412" spans="3:14" ht="13.5" customHeight="1" x14ac:dyDescent="0.2">
      <c r="C412" s="731"/>
      <c r="D412" s="732"/>
      <c r="E412" s="732"/>
      <c r="F412" s="732"/>
      <c r="G412" s="732"/>
      <c r="H412" s="732"/>
      <c r="I412" s="732"/>
      <c r="J412" s="732"/>
      <c r="K412" s="732"/>
      <c r="L412" s="732"/>
      <c r="M412" s="732"/>
      <c r="N412" s="733"/>
    </row>
    <row r="413" spans="3:14" ht="13.5" customHeight="1" x14ac:dyDescent="0.2">
      <c r="C413" s="731"/>
      <c r="D413" s="732"/>
      <c r="E413" s="732"/>
      <c r="F413" s="732"/>
      <c r="G413" s="732"/>
      <c r="H413" s="732"/>
      <c r="I413" s="732"/>
      <c r="J413" s="732"/>
      <c r="K413" s="732"/>
      <c r="L413" s="732"/>
      <c r="M413" s="732"/>
      <c r="N413" s="733"/>
    </row>
    <row r="414" spans="3:14" ht="13.5" customHeight="1" x14ac:dyDescent="0.2">
      <c r="C414" s="731"/>
      <c r="D414" s="732"/>
      <c r="E414" s="732"/>
      <c r="F414" s="732"/>
      <c r="G414" s="732"/>
      <c r="H414" s="732"/>
      <c r="I414" s="732"/>
      <c r="J414" s="732"/>
      <c r="K414" s="732"/>
      <c r="L414" s="732"/>
      <c r="M414" s="732"/>
      <c r="N414" s="733"/>
    </row>
    <row r="415" spans="3:14" ht="13.5" customHeight="1" x14ac:dyDescent="0.2">
      <c r="C415" s="731"/>
      <c r="D415" s="732"/>
      <c r="E415" s="732"/>
      <c r="F415" s="732"/>
      <c r="G415" s="732"/>
      <c r="H415" s="732"/>
      <c r="I415" s="732"/>
      <c r="J415" s="732"/>
      <c r="K415" s="732"/>
      <c r="L415" s="732"/>
      <c r="M415" s="732"/>
      <c r="N415" s="733"/>
    </row>
    <row r="416" spans="3:14" ht="13.5" customHeight="1" x14ac:dyDescent="0.2">
      <c r="C416" s="731"/>
      <c r="D416" s="732"/>
      <c r="E416" s="732"/>
      <c r="F416" s="732"/>
      <c r="G416" s="732"/>
      <c r="H416" s="732"/>
      <c r="I416" s="732"/>
      <c r="J416" s="732"/>
      <c r="K416" s="732"/>
      <c r="L416" s="732"/>
      <c r="M416" s="732"/>
      <c r="N416" s="733"/>
    </row>
    <row r="417" spans="3:14" ht="13.5" customHeight="1" x14ac:dyDescent="0.2">
      <c r="C417" s="731"/>
      <c r="D417" s="732"/>
      <c r="E417" s="732"/>
      <c r="F417" s="732"/>
      <c r="G417" s="732"/>
      <c r="H417" s="732"/>
      <c r="I417" s="732"/>
      <c r="J417" s="732"/>
      <c r="K417" s="732"/>
      <c r="L417" s="732"/>
      <c r="M417" s="732"/>
      <c r="N417" s="733"/>
    </row>
    <row r="418" spans="3:14" ht="13.5" customHeight="1" x14ac:dyDescent="0.2">
      <c r="C418" s="731"/>
      <c r="D418" s="732"/>
      <c r="E418" s="732"/>
      <c r="F418" s="732"/>
      <c r="G418" s="732"/>
      <c r="H418" s="732"/>
      <c r="I418" s="732"/>
      <c r="J418" s="732"/>
      <c r="K418" s="732"/>
      <c r="L418" s="732"/>
      <c r="M418" s="732"/>
      <c r="N418" s="733"/>
    </row>
    <row r="419" spans="3:14" ht="13.5" customHeight="1" x14ac:dyDescent="0.2">
      <c r="C419" s="731"/>
      <c r="D419" s="732"/>
      <c r="E419" s="732"/>
      <c r="F419" s="732"/>
      <c r="G419" s="732"/>
      <c r="H419" s="732"/>
      <c r="I419" s="732"/>
      <c r="J419" s="732"/>
      <c r="K419" s="732"/>
      <c r="L419" s="732"/>
      <c r="M419" s="732"/>
      <c r="N419" s="733"/>
    </row>
    <row r="420" spans="3:14" ht="13.5" customHeight="1" x14ac:dyDescent="0.2">
      <c r="C420" s="731"/>
      <c r="D420" s="732"/>
      <c r="E420" s="732"/>
      <c r="F420" s="732"/>
      <c r="G420" s="732"/>
      <c r="H420" s="732"/>
      <c r="I420" s="732"/>
      <c r="J420" s="732"/>
      <c r="K420" s="732"/>
      <c r="L420" s="732"/>
      <c r="M420" s="732"/>
      <c r="N420" s="733"/>
    </row>
    <row r="421" spans="3:14" ht="13.5" customHeight="1" x14ac:dyDescent="0.2">
      <c r="C421" s="731"/>
      <c r="D421" s="732"/>
      <c r="E421" s="732"/>
      <c r="F421" s="732"/>
      <c r="G421" s="732"/>
      <c r="H421" s="732"/>
      <c r="I421" s="732"/>
      <c r="J421" s="732"/>
      <c r="K421" s="732"/>
      <c r="L421" s="732"/>
      <c r="M421" s="732"/>
      <c r="N421" s="733"/>
    </row>
    <row r="422" spans="3:14" ht="13.5" customHeight="1" x14ac:dyDescent="0.2">
      <c r="C422" s="731"/>
      <c r="D422" s="732"/>
      <c r="E422" s="732"/>
      <c r="F422" s="732"/>
      <c r="G422" s="732"/>
      <c r="H422" s="732"/>
      <c r="I422" s="732"/>
      <c r="J422" s="732"/>
      <c r="K422" s="732"/>
      <c r="L422" s="732"/>
      <c r="M422" s="732"/>
      <c r="N422" s="733"/>
    </row>
    <row r="423" spans="3:14" ht="13.5" customHeight="1" x14ac:dyDescent="0.2">
      <c r="C423" s="731"/>
      <c r="D423" s="732"/>
      <c r="E423" s="732"/>
      <c r="F423" s="732"/>
      <c r="G423" s="732"/>
      <c r="H423" s="732"/>
      <c r="I423" s="732"/>
      <c r="J423" s="732"/>
      <c r="K423" s="732"/>
      <c r="L423" s="732"/>
      <c r="M423" s="732"/>
      <c r="N423" s="733"/>
    </row>
    <row r="424" spans="3:14" ht="13.5" customHeight="1" x14ac:dyDescent="0.2">
      <c r="C424" s="731"/>
      <c r="D424" s="732"/>
      <c r="E424" s="732"/>
      <c r="F424" s="732"/>
      <c r="G424" s="732"/>
      <c r="H424" s="732"/>
      <c r="I424" s="732"/>
      <c r="J424" s="732"/>
      <c r="K424" s="732"/>
      <c r="L424" s="732"/>
      <c r="M424" s="732"/>
      <c r="N424" s="733"/>
    </row>
    <row r="425" spans="3:14" ht="13.5" customHeight="1" x14ac:dyDescent="0.2">
      <c r="C425" s="731"/>
      <c r="D425" s="732"/>
      <c r="E425" s="732"/>
      <c r="F425" s="732"/>
      <c r="G425" s="732"/>
      <c r="H425" s="732"/>
      <c r="I425" s="732"/>
      <c r="J425" s="732"/>
      <c r="K425" s="732"/>
      <c r="L425" s="732"/>
      <c r="M425" s="732"/>
      <c r="N425" s="733"/>
    </row>
    <row r="426" spans="3:14" ht="13.5" customHeight="1" x14ac:dyDescent="0.2">
      <c r="C426" s="731"/>
      <c r="D426" s="732"/>
      <c r="E426" s="732"/>
      <c r="F426" s="732"/>
      <c r="G426" s="732"/>
      <c r="H426" s="732"/>
      <c r="I426" s="732"/>
      <c r="J426" s="732"/>
      <c r="K426" s="732"/>
      <c r="L426" s="732"/>
      <c r="M426" s="732"/>
      <c r="N426" s="733"/>
    </row>
    <row r="427" spans="3:14" ht="13.5" customHeight="1" x14ac:dyDescent="0.2">
      <c r="C427" s="731"/>
      <c r="D427" s="732"/>
      <c r="E427" s="732"/>
      <c r="F427" s="732"/>
      <c r="G427" s="732"/>
      <c r="H427" s="732"/>
      <c r="I427" s="732"/>
      <c r="J427" s="732"/>
      <c r="K427" s="732"/>
      <c r="L427" s="732"/>
      <c r="M427" s="732"/>
      <c r="N427" s="733"/>
    </row>
    <row r="428" spans="3:14" ht="13.5" customHeight="1" x14ac:dyDescent="0.2">
      <c r="C428" s="734"/>
      <c r="D428" s="735"/>
      <c r="E428" s="735"/>
      <c r="F428" s="735"/>
      <c r="G428" s="735"/>
      <c r="H428" s="735"/>
      <c r="I428" s="735"/>
      <c r="J428" s="735"/>
      <c r="K428" s="735"/>
      <c r="L428" s="735"/>
      <c r="M428" s="735"/>
      <c r="N428" s="736"/>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28" t="s">
        <v>467</v>
      </c>
      <c r="D435" s="714"/>
      <c r="E435" s="714"/>
      <c r="F435" s="714"/>
      <c r="G435" s="714"/>
      <c r="H435" s="714"/>
      <c r="I435" s="714"/>
      <c r="J435" s="714"/>
      <c r="K435" s="714"/>
      <c r="L435" s="714"/>
      <c r="M435" s="714"/>
      <c r="N435" s="742"/>
    </row>
    <row r="436" spans="3:14" ht="13.5" customHeight="1" x14ac:dyDescent="0.2">
      <c r="C436" s="716"/>
      <c r="D436" s="717"/>
      <c r="E436" s="717"/>
      <c r="F436" s="717"/>
      <c r="G436" s="717"/>
      <c r="H436" s="717"/>
      <c r="I436" s="717"/>
      <c r="J436" s="717"/>
      <c r="K436" s="717"/>
      <c r="L436" s="717"/>
      <c r="M436" s="717"/>
      <c r="N436" s="718"/>
    </row>
    <row r="437" spans="3:14" ht="13.5" customHeight="1" x14ac:dyDescent="0.2">
      <c r="C437" s="716"/>
      <c r="D437" s="717"/>
      <c r="E437" s="717"/>
      <c r="F437" s="717"/>
      <c r="G437" s="717"/>
      <c r="H437" s="717"/>
      <c r="I437" s="717"/>
      <c r="J437" s="717"/>
      <c r="K437" s="717"/>
      <c r="L437" s="717"/>
      <c r="M437" s="717"/>
      <c r="N437" s="718"/>
    </row>
    <row r="438" spans="3:14" ht="13.5" customHeight="1" x14ac:dyDescent="0.2">
      <c r="C438" s="716"/>
      <c r="D438" s="717"/>
      <c r="E438" s="717"/>
      <c r="F438" s="717"/>
      <c r="G438" s="717"/>
      <c r="H438" s="717"/>
      <c r="I438" s="717"/>
      <c r="J438" s="717"/>
      <c r="K438" s="717"/>
      <c r="L438" s="717"/>
      <c r="M438" s="717"/>
      <c r="N438" s="718"/>
    </row>
    <row r="439" spans="3:14" ht="13.5" customHeight="1" x14ac:dyDescent="0.2">
      <c r="C439" s="716"/>
      <c r="D439" s="717"/>
      <c r="E439" s="717"/>
      <c r="F439" s="717"/>
      <c r="G439" s="717"/>
      <c r="H439" s="717"/>
      <c r="I439" s="717"/>
      <c r="J439" s="717"/>
      <c r="K439" s="717"/>
      <c r="L439" s="717"/>
      <c r="M439" s="717"/>
      <c r="N439" s="718"/>
    </row>
    <row r="440" spans="3:14" ht="13.5" customHeight="1" x14ac:dyDescent="0.2">
      <c r="C440" s="716"/>
      <c r="D440" s="717"/>
      <c r="E440" s="717"/>
      <c r="F440" s="717"/>
      <c r="G440" s="717"/>
      <c r="H440" s="717"/>
      <c r="I440" s="717"/>
      <c r="J440" s="717"/>
      <c r="K440" s="717"/>
      <c r="L440" s="717"/>
      <c r="M440" s="717"/>
      <c r="N440" s="718"/>
    </row>
    <row r="441" spans="3:14" ht="13.5" customHeight="1" x14ac:dyDescent="0.2">
      <c r="C441" s="716"/>
      <c r="D441" s="717"/>
      <c r="E441" s="717"/>
      <c r="F441" s="717"/>
      <c r="G441" s="717"/>
      <c r="H441" s="717"/>
      <c r="I441" s="717"/>
      <c r="J441" s="717"/>
      <c r="K441" s="717"/>
      <c r="L441" s="717"/>
      <c r="M441" s="717"/>
      <c r="N441" s="718"/>
    </row>
    <row r="442" spans="3:14" ht="13.5" customHeight="1" x14ac:dyDescent="0.2">
      <c r="C442" s="716"/>
      <c r="D442" s="717"/>
      <c r="E442" s="717"/>
      <c r="F442" s="717"/>
      <c r="G442" s="717"/>
      <c r="H442" s="717"/>
      <c r="I442" s="717"/>
      <c r="J442" s="717"/>
      <c r="K442" s="717"/>
      <c r="L442" s="717"/>
      <c r="M442" s="717"/>
      <c r="N442" s="718"/>
    </row>
    <row r="443" spans="3:14" ht="13.5" customHeight="1" x14ac:dyDescent="0.2">
      <c r="C443" s="716"/>
      <c r="D443" s="717"/>
      <c r="E443" s="717"/>
      <c r="F443" s="717"/>
      <c r="G443" s="717"/>
      <c r="H443" s="717"/>
      <c r="I443" s="717"/>
      <c r="J443" s="717"/>
      <c r="K443" s="717"/>
      <c r="L443" s="717"/>
      <c r="M443" s="717"/>
      <c r="N443" s="718"/>
    </row>
    <row r="444" spans="3:14" ht="13.5" customHeight="1" x14ac:dyDescent="0.2">
      <c r="C444" s="716"/>
      <c r="D444" s="717"/>
      <c r="E444" s="717"/>
      <c r="F444" s="717"/>
      <c r="G444" s="717"/>
      <c r="H444" s="717"/>
      <c r="I444" s="717"/>
      <c r="J444" s="717"/>
      <c r="K444" s="717"/>
      <c r="L444" s="717"/>
      <c r="M444" s="717"/>
      <c r="N444" s="718"/>
    </row>
    <row r="445" spans="3:14" ht="13.5" customHeight="1" x14ac:dyDescent="0.2">
      <c r="C445" s="716"/>
      <c r="D445" s="717"/>
      <c r="E445" s="717"/>
      <c r="F445" s="717"/>
      <c r="G445" s="717"/>
      <c r="H445" s="717"/>
      <c r="I445" s="717"/>
      <c r="J445" s="717"/>
      <c r="K445" s="717"/>
      <c r="L445" s="717"/>
      <c r="M445" s="717"/>
      <c r="N445" s="718"/>
    </row>
    <row r="446" spans="3:14" ht="13.5" customHeight="1" x14ac:dyDescent="0.2">
      <c r="C446" s="716"/>
      <c r="D446" s="717"/>
      <c r="E446" s="717"/>
      <c r="F446" s="717"/>
      <c r="G446" s="717"/>
      <c r="H446" s="717"/>
      <c r="I446" s="717"/>
      <c r="J446" s="717"/>
      <c r="K446" s="717"/>
      <c r="L446" s="717"/>
      <c r="M446" s="717"/>
      <c r="N446" s="718"/>
    </row>
    <row r="447" spans="3:14" ht="13.5" customHeight="1" x14ac:dyDescent="0.2">
      <c r="C447" s="716"/>
      <c r="D447" s="717"/>
      <c r="E447" s="717"/>
      <c r="F447" s="717"/>
      <c r="G447" s="717"/>
      <c r="H447" s="717"/>
      <c r="I447" s="717"/>
      <c r="J447" s="717"/>
      <c r="K447" s="717"/>
      <c r="L447" s="717"/>
      <c r="M447" s="717"/>
      <c r="N447" s="718"/>
    </row>
    <row r="448" spans="3:14" ht="13.5" customHeight="1" x14ac:dyDescent="0.2">
      <c r="C448" s="716"/>
      <c r="D448" s="717"/>
      <c r="E448" s="717"/>
      <c r="F448" s="717"/>
      <c r="G448" s="717"/>
      <c r="H448" s="717"/>
      <c r="I448" s="717"/>
      <c r="J448" s="717"/>
      <c r="K448" s="717"/>
      <c r="L448" s="717"/>
      <c r="M448" s="717"/>
      <c r="N448" s="718"/>
    </row>
    <row r="449" spans="3:14" ht="13.5" customHeight="1" x14ac:dyDescent="0.2">
      <c r="C449" s="716"/>
      <c r="D449" s="717"/>
      <c r="E449" s="717"/>
      <c r="F449" s="717"/>
      <c r="G449" s="717"/>
      <c r="H449" s="717"/>
      <c r="I449" s="717"/>
      <c r="J449" s="717"/>
      <c r="K449" s="717"/>
      <c r="L449" s="717"/>
      <c r="M449" s="717"/>
      <c r="N449" s="718"/>
    </row>
    <row r="450" spans="3:14" ht="13.5" customHeight="1" x14ac:dyDescent="0.2">
      <c r="C450" s="716"/>
      <c r="D450" s="717"/>
      <c r="E450" s="717"/>
      <c r="F450" s="717"/>
      <c r="G450" s="717"/>
      <c r="H450" s="717"/>
      <c r="I450" s="717"/>
      <c r="J450" s="717"/>
      <c r="K450" s="717"/>
      <c r="L450" s="717"/>
      <c r="M450" s="717"/>
      <c r="N450" s="718"/>
    </row>
    <row r="451" spans="3:14" ht="13.5" customHeight="1" x14ac:dyDescent="0.2">
      <c r="C451" s="716"/>
      <c r="D451" s="717"/>
      <c r="E451" s="717"/>
      <c r="F451" s="717"/>
      <c r="G451" s="717"/>
      <c r="H451" s="717"/>
      <c r="I451" s="717"/>
      <c r="J451" s="717"/>
      <c r="K451" s="717"/>
      <c r="L451" s="717"/>
      <c r="M451" s="717"/>
      <c r="N451" s="718"/>
    </row>
    <row r="452" spans="3:14" ht="13.5" customHeight="1" x14ac:dyDescent="0.2">
      <c r="C452" s="716"/>
      <c r="D452" s="717"/>
      <c r="E452" s="717"/>
      <c r="F452" s="717"/>
      <c r="G452" s="717"/>
      <c r="H452" s="717"/>
      <c r="I452" s="717"/>
      <c r="J452" s="717"/>
      <c r="K452" s="717"/>
      <c r="L452" s="717"/>
      <c r="M452" s="717"/>
      <c r="N452" s="718"/>
    </row>
    <row r="453" spans="3:14" ht="13.5" customHeight="1" x14ac:dyDescent="0.2">
      <c r="C453" s="716"/>
      <c r="D453" s="717"/>
      <c r="E453" s="717"/>
      <c r="F453" s="717"/>
      <c r="G453" s="717"/>
      <c r="H453" s="717"/>
      <c r="I453" s="717"/>
      <c r="J453" s="717"/>
      <c r="K453" s="717"/>
      <c r="L453" s="717"/>
      <c r="M453" s="717"/>
      <c r="N453" s="718"/>
    </row>
    <row r="454" spans="3:14" ht="13.5" customHeight="1" x14ac:dyDescent="0.2">
      <c r="C454" s="716"/>
      <c r="D454" s="717"/>
      <c r="E454" s="717"/>
      <c r="F454" s="717"/>
      <c r="G454" s="717"/>
      <c r="H454" s="717"/>
      <c r="I454" s="717"/>
      <c r="J454" s="717"/>
      <c r="K454" s="717"/>
      <c r="L454" s="717"/>
      <c r="M454" s="717"/>
      <c r="N454" s="718"/>
    </row>
    <row r="455" spans="3:14" ht="13.5" customHeight="1" x14ac:dyDescent="0.2">
      <c r="C455" s="716"/>
      <c r="D455" s="717"/>
      <c r="E455" s="717"/>
      <c r="F455" s="717"/>
      <c r="G455" s="717"/>
      <c r="H455" s="717"/>
      <c r="I455" s="717"/>
      <c r="J455" s="717"/>
      <c r="K455" s="717"/>
      <c r="L455" s="717"/>
      <c r="M455" s="717"/>
      <c r="N455" s="718"/>
    </row>
    <row r="456" spans="3:14" ht="13.5" customHeight="1" x14ac:dyDescent="0.2">
      <c r="C456" s="716"/>
      <c r="D456" s="717"/>
      <c r="E456" s="717"/>
      <c r="F456" s="717"/>
      <c r="G456" s="717"/>
      <c r="H456" s="717"/>
      <c r="I456" s="717"/>
      <c r="J456" s="717"/>
      <c r="K456" s="717"/>
      <c r="L456" s="717"/>
      <c r="M456" s="717"/>
      <c r="N456" s="718"/>
    </row>
    <row r="457" spans="3:14" ht="13.5" customHeight="1" x14ac:dyDescent="0.2">
      <c r="C457" s="716"/>
      <c r="D457" s="717"/>
      <c r="E457" s="717"/>
      <c r="F457" s="717"/>
      <c r="G457" s="717"/>
      <c r="H457" s="717"/>
      <c r="I457" s="717"/>
      <c r="J457" s="717"/>
      <c r="K457" s="717"/>
      <c r="L457" s="717"/>
      <c r="M457" s="717"/>
      <c r="N457" s="718"/>
    </row>
    <row r="458" spans="3:14" ht="13.5" customHeight="1" x14ac:dyDescent="0.2">
      <c r="C458" s="716"/>
      <c r="D458" s="717"/>
      <c r="E458" s="717"/>
      <c r="F458" s="717"/>
      <c r="G458" s="717"/>
      <c r="H458" s="717"/>
      <c r="I458" s="717"/>
      <c r="J458" s="717"/>
      <c r="K458" s="717"/>
      <c r="L458" s="717"/>
      <c r="M458" s="717"/>
      <c r="N458" s="718"/>
    </row>
    <row r="459" spans="3:14" ht="13.5" customHeight="1" x14ac:dyDescent="0.2">
      <c r="C459" s="716"/>
      <c r="D459" s="717"/>
      <c r="E459" s="717"/>
      <c r="F459" s="717"/>
      <c r="G459" s="717"/>
      <c r="H459" s="717"/>
      <c r="I459" s="717"/>
      <c r="J459" s="717"/>
      <c r="K459" s="717"/>
      <c r="L459" s="717"/>
      <c r="M459" s="717"/>
      <c r="N459" s="718"/>
    </row>
    <row r="460" spans="3:14" ht="13.5" customHeight="1" x14ac:dyDescent="0.2">
      <c r="C460" s="716"/>
      <c r="D460" s="717"/>
      <c r="E460" s="717"/>
      <c r="F460" s="717"/>
      <c r="G460" s="717"/>
      <c r="H460" s="717"/>
      <c r="I460" s="717"/>
      <c r="J460" s="717"/>
      <c r="K460" s="717"/>
      <c r="L460" s="717"/>
      <c r="M460" s="717"/>
      <c r="N460" s="718"/>
    </row>
    <row r="461" spans="3:14" ht="13.5" customHeight="1" x14ac:dyDescent="0.2">
      <c r="C461" s="716"/>
      <c r="D461" s="717"/>
      <c r="E461" s="717"/>
      <c r="F461" s="717"/>
      <c r="G461" s="717"/>
      <c r="H461" s="717"/>
      <c r="I461" s="717"/>
      <c r="J461" s="717"/>
      <c r="K461" s="717"/>
      <c r="L461" s="717"/>
      <c r="M461" s="717"/>
      <c r="N461" s="718"/>
    </row>
    <row r="462" spans="3:14" ht="13.5" customHeight="1" x14ac:dyDescent="0.2">
      <c r="C462" s="716"/>
      <c r="D462" s="717"/>
      <c r="E462" s="717"/>
      <c r="F462" s="717"/>
      <c r="G462" s="717"/>
      <c r="H462" s="717"/>
      <c r="I462" s="717"/>
      <c r="J462" s="717"/>
      <c r="K462" s="717"/>
      <c r="L462" s="717"/>
      <c r="M462" s="717"/>
      <c r="N462" s="718"/>
    </row>
    <row r="463" spans="3:14" ht="13.5" customHeight="1" x14ac:dyDescent="0.2">
      <c r="C463" s="716"/>
      <c r="D463" s="717"/>
      <c r="E463" s="717"/>
      <c r="F463" s="717"/>
      <c r="G463" s="717"/>
      <c r="H463" s="717"/>
      <c r="I463" s="717"/>
      <c r="J463" s="717"/>
      <c r="K463" s="717"/>
      <c r="L463" s="717"/>
      <c r="M463" s="717"/>
      <c r="N463" s="718"/>
    </row>
    <row r="464" spans="3:14" ht="13.5" customHeight="1" x14ac:dyDescent="0.2">
      <c r="C464" s="716"/>
      <c r="D464" s="717"/>
      <c r="E464" s="717"/>
      <c r="F464" s="717"/>
      <c r="G464" s="717"/>
      <c r="H464" s="717"/>
      <c r="I464" s="717"/>
      <c r="J464" s="717"/>
      <c r="K464" s="717"/>
      <c r="L464" s="717"/>
      <c r="M464" s="717"/>
      <c r="N464" s="718"/>
    </row>
    <row r="465" spans="3:14" ht="13.5" customHeight="1" x14ac:dyDescent="0.2">
      <c r="C465" s="716"/>
      <c r="D465" s="717"/>
      <c r="E465" s="717"/>
      <c r="F465" s="717"/>
      <c r="G465" s="717"/>
      <c r="H465" s="717"/>
      <c r="I465" s="717"/>
      <c r="J465" s="717"/>
      <c r="K465" s="717"/>
      <c r="L465" s="717"/>
      <c r="M465" s="717"/>
      <c r="N465" s="718"/>
    </row>
    <row r="466" spans="3:14" ht="13.5" customHeight="1" x14ac:dyDescent="0.2">
      <c r="C466" s="716"/>
      <c r="D466" s="717"/>
      <c r="E466" s="717"/>
      <c r="F466" s="717"/>
      <c r="G466" s="717"/>
      <c r="H466" s="717"/>
      <c r="I466" s="717"/>
      <c r="J466" s="717"/>
      <c r="K466" s="717"/>
      <c r="L466" s="717"/>
      <c r="M466" s="717"/>
      <c r="N466" s="718"/>
    </row>
    <row r="467" spans="3:14" ht="13.5" customHeight="1" x14ac:dyDescent="0.2">
      <c r="C467" s="716"/>
      <c r="D467" s="717"/>
      <c r="E467" s="717"/>
      <c r="F467" s="717"/>
      <c r="G467" s="717"/>
      <c r="H467" s="717"/>
      <c r="I467" s="717"/>
      <c r="J467" s="717"/>
      <c r="K467" s="717"/>
      <c r="L467" s="717"/>
      <c r="M467" s="717"/>
      <c r="N467" s="718"/>
    </row>
    <row r="468" spans="3:14" ht="13.5" customHeight="1" x14ac:dyDescent="0.2">
      <c r="C468" s="716"/>
      <c r="D468" s="717"/>
      <c r="E468" s="717"/>
      <c r="F468" s="717"/>
      <c r="G468" s="717"/>
      <c r="H468" s="717"/>
      <c r="I468" s="717"/>
      <c r="J468" s="717"/>
      <c r="K468" s="717"/>
      <c r="L468" s="717"/>
      <c r="M468" s="717"/>
      <c r="N468" s="718"/>
    </row>
    <row r="469" spans="3:14" ht="13.5" customHeight="1" x14ac:dyDescent="0.2">
      <c r="C469" s="716"/>
      <c r="D469" s="717"/>
      <c r="E469" s="717"/>
      <c r="F469" s="717"/>
      <c r="G469" s="717"/>
      <c r="H469" s="717"/>
      <c r="I469" s="717"/>
      <c r="J469" s="717"/>
      <c r="K469" s="717"/>
      <c r="L469" s="717"/>
      <c r="M469" s="717"/>
      <c r="N469" s="718"/>
    </row>
    <row r="470" spans="3:14" ht="13.5" customHeight="1" x14ac:dyDescent="0.2">
      <c r="C470" s="716"/>
      <c r="D470" s="717"/>
      <c r="E470" s="717"/>
      <c r="F470" s="717"/>
      <c r="G470" s="717"/>
      <c r="H470" s="717"/>
      <c r="I470" s="717"/>
      <c r="J470" s="717"/>
      <c r="K470" s="717"/>
      <c r="L470" s="717"/>
      <c r="M470" s="717"/>
      <c r="N470" s="718"/>
    </row>
    <row r="471" spans="3:14" ht="13.5" customHeight="1" x14ac:dyDescent="0.2">
      <c r="C471" s="716"/>
      <c r="D471" s="717"/>
      <c r="E471" s="717"/>
      <c r="F471" s="717"/>
      <c r="G471" s="717"/>
      <c r="H471" s="717"/>
      <c r="I471" s="717"/>
      <c r="J471" s="717"/>
      <c r="K471" s="717"/>
      <c r="L471" s="717"/>
      <c r="M471" s="717"/>
      <c r="N471" s="718"/>
    </row>
    <row r="472" spans="3:14" ht="13.5" customHeight="1" x14ac:dyDescent="0.2">
      <c r="C472" s="716"/>
      <c r="D472" s="717"/>
      <c r="E472" s="717"/>
      <c r="F472" s="717"/>
      <c r="G472" s="717"/>
      <c r="H472" s="717"/>
      <c r="I472" s="717"/>
      <c r="J472" s="717"/>
      <c r="K472" s="717"/>
      <c r="L472" s="717"/>
      <c r="M472" s="717"/>
      <c r="N472" s="718"/>
    </row>
    <row r="473" spans="3:14" ht="13.5" customHeight="1" x14ac:dyDescent="0.2">
      <c r="C473" s="716"/>
      <c r="D473" s="717"/>
      <c r="E473" s="717"/>
      <c r="F473" s="717"/>
      <c r="G473" s="717"/>
      <c r="H473" s="717"/>
      <c r="I473" s="717"/>
      <c r="J473" s="717"/>
      <c r="K473" s="717"/>
      <c r="L473" s="717"/>
      <c r="M473" s="717"/>
      <c r="N473" s="718"/>
    </row>
    <row r="474" spans="3:14" ht="13.5" customHeight="1" x14ac:dyDescent="0.2">
      <c r="C474" s="716"/>
      <c r="D474" s="717"/>
      <c r="E474" s="717"/>
      <c r="F474" s="717"/>
      <c r="G474" s="717"/>
      <c r="H474" s="717"/>
      <c r="I474" s="717"/>
      <c r="J474" s="717"/>
      <c r="K474" s="717"/>
      <c r="L474" s="717"/>
      <c r="M474" s="717"/>
      <c r="N474" s="718"/>
    </row>
    <row r="475" spans="3:14" ht="13.5" customHeight="1" x14ac:dyDescent="0.2">
      <c r="C475" s="716"/>
      <c r="D475" s="717"/>
      <c r="E475" s="717"/>
      <c r="F475" s="717"/>
      <c r="G475" s="717"/>
      <c r="H475" s="717"/>
      <c r="I475" s="717"/>
      <c r="J475" s="717"/>
      <c r="K475" s="717"/>
      <c r="L475" s="717"/>
      <c r="M475" s="717"/>
      <c r="N475" s="718"/>
    </row>
    <row r="476" spans="3:14" ht="13.5" customHeight="1" x14ac:dyDescent="0.2">
      <c r="C476" s="716"/>
      <c r="D476" s="717"/>
      <c r="E476" s="717"/>
      <c r="F476" s="717"/>
      <c r="G476" s="717"/>
      <c r="H476" s="717"/>
      <c r="I476" s="717"/>
      <c r="J476" s="717"/>
      <c r="K476" s="717"/>
      <c r="L476" s="717"/>
      <c r="M476" s="717"/>
      <c r="N476" s="718"/>
    </row>
    <row r="477" spans="3:14" ht="13.5" customHeight="1" x14ac:dyDescent="0.2">
      <c r="C477" s="716"/>
      <c r="D477" s="717"/>
      <c r="E477" s="717"/>
      <c r="F477" s="717"/>
      <c r="G477" s="717"/>
      <c r="H477" s="717"/>
      <c r="I477" s="717"/>
      <c r="J477" s="717"/>
      <c r="K477" s="717"/>
      <c r="L477" s="717"/>
      <c r="M477" s="717"/>
      <c r="N477" s="718"/>
    </row>
    <row r="478" spans="3:14" ht="13.5" customHeight="1" x14ac:dyDescent="0.2">
      <c r="C478" s="716"/>
      <c r="D478" s="717"/>
      <c r="E478" s="717"/>
      <c r="F478" s="717"/>
      <c r="G478" s="717"/>
      <c r="H478" s="717"/>
      <c r="I478" s="717"/>
      <c r="J478" s="717"/>
      <c r="K478" s="717"/>
      <c r="L478" s="717"/>
      <c r="M478" s="717"/>
      <c r="N478" s="718"/>
    </row>
    <row r="479" spans="3:14" ht="13.5" customHeight="1" x14ac:dyDescent="0.2">
      <c r="C479" s="716"/>
      <c r="D479" s="717"/>
      <c r="E479" s="717"/>
      <c r="F479" s="717"/>
      <c r="G479" s="717"/>
      <c r="H479" s="717"/>
      <c r="I479" s="717"/>
      <c r="J479" s="717"/>
      <c r="K479" s="717"/>
      <c r="L479" s="717"/>
      <c r="M479" s="717"/>
      <c r="N479" s="718"/>
    </row>
    <row r="480" spans="3:14" ht="13.5" customHeight="1" x14ac:dyDescent="0.2">
      <c r="C480" s="716"/>
      <c r="D480" s="717"/>
      <c r="E480" s="717"/>
      <c r="F480" s="717"/>
      <c r="G480" s="717"/>
      <c r="H480" s="717"/>
      <c r="I480" s="717"/>
      <c r="J480" s="717"/>
      <c r="K480" s="717"/>
      <c r="L480" s="717"/>
      <c r="M480" s="717"/>
      <c r="N480" s="718"/>
    </row>
    <row r="481" spans="3:14" ht="13.5" customHeight="1" x14ac:dyDescent="0.2">
      <c r="C481" s="716"/>
      <c r="D481" s="717"/>
      <c r="E481" s="717"/>
      <c r="F481" s="717"/>
      <c r="G481" s="717"/>
      <c r="H481" s="717"/>
      <c r="I481" s="717"/>
      <c r="J481" s="717"/>
      <c r="K481" s="717"/>
      <c r="L481" s="717"/>
      <c r="M481" s="717"/>
      <c r="N481" s="718"/>
    </row>
    <row r="482" spans="3:14" ht="13.5" customHeight="1" x14ac:dyDescent="0.2">
      <c r="C482" s="716"/>
      <c r="D482" s="717"/>
      <c r="E482" s="717"/>
      <c r="F482" s="717"/>
      <c r="G482" s="717"/>
      <c r="H482" s="717"/>
      <c r="I482" s="717"/>
      <c r="J482" s="717"/>
      <c r="K482" s="717"/>
      <c r="L482" s="717"/>
      <c r="M482" s="717"/>
      <c r="N482" s="718"/>
    </row>
    <row r="483" spans="3:14" ht="13.5" customHeight="1" x14ac:dyDescent="0.2">
      <c r="C483" s="716"/>
      <c r="D483" s="717"/>
      <c r="E483" s="717"/>
      <c r="F483" s="717"/>
      <c r="G483" s="717"/>
      <c r="H483" s="717"/>
      <c r="I483" s="717"/>
      <c r="J483" s="717"/>
      <c r="K483" s="717"/>
      <c r="L483" s="717"/>
      <c r="M483" s="717"/>
      <c r="N483" s="718"/>
    </row>
    <row r="484" spans="3:14" ht="13.5" customHeight="1" x14ac:dyDescent="0.2">
      <c r="C484" s="716"/>
      <c r="D484" s="717"/>
      <c r="E484" s="717"/>
      <c r="F484" s="717"/>
      <c r="G484" s="717"/>
      <c r="H484" s="717"/>
      <c r="I484" s="717"/>
      <c r="J484" s="717"/>
      <c r="K484" s="717"/>
      <c r="L484" s="717"/>
      <c r="M484" s="717"/>
      <c r="N484" s="718"/>
    </row>
    <row r="485" spans="3:14" ht="13.5" customHeight="1" x14ac:dyDescent="0.2">
      <c r="C485" s="716"/>
      <c r="D485" s="717"/>
      <c r="E485" s="717"/>
      <c r="F485" s="717"/>
      <c r="G485" s="717"/>
      <c r="H485" s="717"/>
      <c r="I485" s="717"/>
      <c r="J485" s="717"/>
      <c r="K485" s="717"/>
      <c r="L485" s="717"/>
      <c r="M485" s="717"/>
      <c r="N485" s="718"/>
    </row>
    <row r="486" spans="3:14" ht="13.5" customHeight="1" x14ac:dyDescent="0.2">
      <c r="C486" s="716"/>
      <c r="D486" s="717"/>
      <c r="E486" s="717"/>
      <c r="F486" s="717"/>
      <c r="G486" s="717"/>
      <c r="H486" s="717"/>
      <c r="I486" s="717"/>
      <c r="J486" s="717"/>
      <c r="K486" s="717"/>
      <c r="L486" s="717"/>
      <c r="M486" s="717"/>
      <c r="N486" s="718"/>
    </row>
    <row r="487" spans="3:14" ht="13.5" customHeight="1" x14ac:dyDescent="0.2">
      <c r="C487" s="719"/>
      <c r="D487" s="720"/>
      <c r="E487" s="720"/>
      <c r="F487" s="720"/>
      <c r="G487" s="720"/>
      <c r="H487" s="720"/>
      <c r="I487" s="720"/>
      <c r="J487" s="720"/>
      <c r="K487" s="720"/>
      <c r="L487" s="720"/>
      <c r="M487" s="720"/>
      <c r="N487" s="721"/>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43" t="s">
        <v>463</v>
      </c>
      <c r="D493" s="744"/>
      <c r="E493" s="744"/>
      <c r="F493" s="744"/>
      <c r="G493" s="744"/>
      <c r="H493" s="744"/>
      <c r="I493" s="744"/>
      <c r="J493" s="744"/>
      <c r="K493" s="744"/>
      <c r="L493" s="744"/>
      <c r="M493" s="744"/>
      <c r="N493" s="745"/>
    </row>
    <row r="494" spans="3:14" ht="13.5" customHeight="1" x14ac:dyDescent="0.2">
      <c r="C494" s="746"/>
      <c r="D494" s="747"/>
      <c r="E494" s="747"/>
      <c r="F494" s="747"/>
      <c r="G494" s="747"/>
      <c r="H494" s="747"/>
      <c r="I494" s="747"/>
      <c r="J494" s="747"/>
      <c r="K494" s="747"/>
      <c r="L494" s="747"/>
      <c r="M494" s="747"/>
      <c r="N494" s="748"/>
    </row>
    <row r="495" spans="3:14" ht="13.5" customHeight="1" x14ac:dyDescent="0.2">
      <c r="C495" s="746"/>
      <c r="D495" s="747"/>
      <c r="E495" s="747"/>
      <c r="F495" s="747"/>
      <c r="G495" s="747"/>
      <c r="H495" s="747"/>
      <c r="I495" s="747"/>
      <c r="J495" s="747"/>
      <c r="K495" s="747"/>
      <c r="L495" s="747"/>
      <c r="M495" s="747"/>
      <c r="N495" s="748"/>
    </row>
    <row r="496" spans="3:14" ht="13.5" customHeight="1" x14ac:dyDescent="0.2">
      <c r="C496" s="746"/>
      <c r="D496" s="747"/>
      <c r="E496" s="747"/>
      <c r="F496" s="747"/>
      <c r="G496" s="747"/>
      <c r="H496" s="747"/>
      <c r="I496" s="747"/>
      <c r="J496" s="747"/>
      <c r="K496" s="747"/>
      <c r="L496" s="747"/>
      <c r="M496" s="747"/>
      <c r="N496" s="748"/>
    </row>
    <row r="497" spans="3:14" ht="13.5" customHeight="1" x14ac:dyDescent="0.2">
      <c r="C497" s="746"/>
      <c r="D497" s="747"/>
      <c r="E497" s="747"/>
      <c r="F497" s="747"/>
      <c r="G497" s="747"/>
      <c r="H497" s="747"/>
      <c r="I497" s="747"/>
      <c r="J497" s="747"/>
      <c r="K497" s="747"/>
      <c r="L497" s="747"/>
      <c r="M497" s="747"/>
      <c r="N497" s="748"/>
    </row>
    <row r="498" spans="3:14" ht="13.5" customHeight="1" x14ac:dyDescent="0.2">
      <c r="C498" s="746"/>
      <c r="D498" s="747"/>
      <c r="E498" s="747"/>
      <c r="F498" s="747"/>
      <c r="G498" s="747"/>
      <c r="H498" s="747"/>
      <c r="I498" s="747"/>
      <c r="J498" s="747"/>
      <c r="K498" s="747"/>
      <c r="L498" s="747"/>
      <c r="M498" s="747"/>
      <c r="N498" s="748"/>
    </row>
    <row r="499" spans="3:14" ht="13.5" customHeight="1" x14ac:dyDescent="0.2">
      <c r="C499" s="746"/>
      <c r="D499" s="747"/>
      <c r="E499" s="747"/>
      <c r="F499" s="747"/>
      <c r="G499" s="747"/>
      <c r="H499" s="747"/>
      <c r="I499" s="747"/>
      <c r="J499" s="747"/>
      <c r="K499" s="747"/>
      <c r="L499" s="747"/>
      <c r="M499" s="747"/>
      <c r="N499" s="748"/>
    </row>
    <row r="500" spans="3:14" ht="13.5" customHeight="1" x14ac:dyDescent="0.2">
      <c r="C500" s="746"/>
      <c r="D500" s="747"/>
      <c r="E500" s="747"/>
      <c r="F500" s="747"/>
      <c r="G500" s="747"/>
      <c r="H500" s="747"/>
      <c r="I500" s="747"/>
      <c r="J500" s="747"/>
      <c r="K500" s="747"/>
      <c r="L500" s="747"/>
      <c r="M500" s="747"/>
      <c r="N500" s="748"/>
    </row>
    <row r="501" spans="3:14" ht="13.5" customHeight="1" x14ac:dyDescent="0.2">
      <c r="C501" s="746"/>
      <c r="D501" s="747"/>
      <c r="E501" s="747"/>
      <c r="F501" s="747"/>
      <c r="G501" s="747"/>
      <c r="H501" s="747"/>
      <c r="I501" s="747"/>
      <c r="J501" s="747"/>
      <c r="K501" s="747"/>
      <c r="L501" s="747"/>
      <c r="M501" s="747"/>
      <c r="N501" s="748"/>
    </row>
    <row r="502" spans="3:14" ht="13.5" customHeight="1" x14ac:dyDescent="0.2">
      <c r="C502" s="746"/>
      <c r="D502" s="747"/>
      <c r="E502" s="747"/>
      <c r="F502" s="747"/>
      <c r="G502" s="747"/>
      <c r="H502" s="747"/>
      <c r="I502" s="747"/>
      <c r="J502" s="747"/>
      <c r="K502" s="747"/>
      <c r="L502" s="747"/>
      <c r="M502" s="747"/>
      <c r="N502" s="748"/>
    </row>
    <row r="503" spans="3:14" ht="13.5" customHeight="1" x14ac:dyDescent="0.2">
      <c r="C503" s="746"/>
      <c r="D503" s="747"/>
      <c r="E503" s="747"/>
      <c r="F503" s="747"/>
      <c r="G503" s="747"/>
      <c r="H503" s="747"/>
      <c r="I503" s="747"/>
      <c r="J503" s="747"/>
      <c r="K503" s="747"/>
      <c r="L503" s="747"/>
      <c r="M503" s="747"/>
      <c r="N503" s="748"/>
    </row>
    <row r="504" spans="3:14" ht="13.5" customHeight="1" x14ac:dyDescent="0.2">
      <c r="C504" s="746"/>
      <c r="D504" s="747"/>
      <c r="E504" s="747"/>
      <c r="F504" s="747"/>
      <c r="G504" s="747"/>
      <c r="H504" s="747"/>
      <c r="I504" s="747"/>
      <c r="J504" s="747"/>
      <c r="K504" s="747"/>
      <c r="L504" s="747"/>
      <c r="M504" s="747"/>
      <c r="N504" s="748"/>
    </row>
    <row r="505" spans="3:14" ht="13.5" customHeight="1" x14ac:dyDescent="0.2">
      <c r="C505" s="746"/>
      <c r="D505" s="747"/>
      <c r="E505" s="747"/>
      <c r="F505" s="747"/>
      <c r="G505" s="747"/>
      <c r="H505" s="747"/>
      <c r="I505" s="747"/>
      <c r="J505" s="747"/>
      <c r="K505" s="747"/>
      <c r="L505" s="747"/>
      <c r="M505" s="747"/>
      <c r="N505" s="748"/>
    </row>
    <row r="506" spans="3:14" ht="13.5" customHeight="1" x14ac:dyDescent="0.2">
      <c r="C506" s="746"/>
      <c r="D506" s="747"/>
      <c r="E506" s="747"/>
      <c r="F506" s="747"/>
      <c r="G506" s="747"/>
      <c r="H506" s="747"/>
      <c r="I506" s="747"/>
      <c r="J506" s="747"/>
      <c r="K506" s="747"/>
      <c r="L506" s="747"/>
      <c r="M506" s="747"/>
      <c r="N506" s="748"/>
    </row>
    <row r="507" spans="3:14" x14ac:dyDescent="0.2">
      <c r="C507" s="746"/>
      <c r="D507" s="747"/>
      <c r="E507" s="747"/>
      <c r="F507" s="747"/>
      <c r="G507" s="747"/>
      <c r="H507" s="747"/>
      <c r="I507" s="747"/>
      <c r="J507" s="747"/>
      <c r="K507" s="747"/>
      <c r="L507" s="747"/>
      <c r="M507" s="747"/>
      <c r="N507" s="748"/>
    </row>
    <row r="508" spans="3:14" ht="13.5" customHeight="1" x14ac:dyDescent="0.2">
      <c r="C508" s="746"/>
      <c r="D508" s="747"/>
      <c r="E508" s="747"/>
      <c r="F508" s="747"/>
      <c r="G508" s="747"/>
      <c r="H508" s="747"/>
      <c r="I508" s="747"/>
      <c r="J508" s="747"/>
      <c r="K508" s="747"/>
      <c r="L508" s="747"/>
      <c r="M508" s="747"/>
      <c r="N508" s="748"/>
    </row>
    <row r="509" spans="3:14" ht="13.5" customHeight="1" x14ac:dyDescent="0.2">
      <c r="C509" s="746"/>
      <c r="D509" s="747"/>
      <c r="E509" s="747"/>
      <c r="F509" s="747"/>
      <c r="G509" s="747"/>
      <c r="H509" s="747"/>
      <c r="I509" s="747"/>
      <c r="J509" s="747"/>
      <c r="K509" s="747"/>
      <c r="L509" s="747"/>
      <c r="M509" s="747"/>
      <c r="N509" s="748"/>
    </row>
    <row r="510" spans="3:14" ht="13.5" customHeight="1" x14ac:dyDescent="0.2">
      <c r="C510" s="746"/>
      <c r="D510" s="747"/>
      <c r="E510" s="747"/>
      <c r="F510" s="747"/>
      <c r="G510" s="747"/>
      <c r="H510" s="747"/>
      <c r="I510" s="747"/>
      <c r="J510" s="747"/>
      <c r="K510" s="747"/>
      <c r="L510" s="747"/>
      <c r="M510" s="747"/>
      <c r="N510" s="748"/>
    </row>
    <row r="511" spans="3:14" ht="13.5" customHeight="1" x14ac:dyDescent="0.2">
      <c r="C511" s="746"/>
      <c r="D511" s="747"/>
      <c r="E511" s="747"/>
      <c r="F511" s="747"/>
      <c r="G511" s="747"/>
      <c r="H511" s="747"/>
      <c r="I511" s="747"/>
      <c r="J511" s="747"/>
      <c r="K511" s="747"/>
      <c r="L511" s="747"/>
      <c r="M511" s="747"/>
      <c r="N511" s="748"/>
    </row>
    <row r="512" spans="3:14" ht="13.5" customHeight="1" x14ac:dyDescent="0.2">
      <c r="C512" s="746"/>
      <c r="D512" s="747"/>
      <c r="E512" s="747"/>
      <c r="F512" s="747"/>
      <c r="G512" s="747"/>
      <c r="H512" s="747"/>
      <c r="I512" s="747"/>
      <c r="J512" s="747"/>
      <c r="K512" s="747"/>
      <c r="L512" s="747"/>
      <c r="M512" s="747"/>
      <c r="N512" s="748"/>
    </row>
    <row r="513" spans="3:14" ht="13.5" customHeight="1" x14ac:dyDescent="0.2">
      <c r="C513" s="746"/>
      <c r="D513" s="747"/>
      <c r="E513" s="747"/>
      <c r="F513" s="747"/>
      <c r="G513" s="747"/>
      <c r="H513" s="747"/>
      <c r="I513" s="747"/>
      <c r="J513" s="747"/>
      <c r="K513" s="747"/>
      <c r="L513" s="747"/>
      <c r="M513" s="747"/>
      <c r="N513" s="748"/>
    </row>
    <row r="514" spans="3:14" ht="13.5" customHeight="1" x14ac:dyDescent="0.2">
      <c r="C514" s="746"/>
      <c r="D514" s="747"/>
      <c r="E514" s="747"/>
      <c r="F514" s="747"/>
      <c r="G514" s="747"/>
      <c r="H514" s="747"/>
      <c r="I514" s="747"/>
      <c r="J514" s="747"/>
      <c r="K514" s="747"/>
      <c r="L514" s="747"/>
      <c r="M514" s="747"/>
      <c r="N514" s="748"/>
    </row>
    <row r="515" spans="3:14" ht="13.5" customHeight="1" x14ac:dyDescent="0.2">
      <c r="C515" s="746"/>
      <c r="D515" s="747"/>
      <c r="E515" s="747"/>
      <c r="F515" s="747"/>
      <c r="G515" s="747"/>
      <c r="H515" s="747"/>
      <c r="I515" s="747"/>
      <c r="J515" s="747"/>
      <c r="K515" s="747"/>
      <c r="L515" s="747"/>
      <c r="M515" s="747"/>
      <c r="N515" s="748"/>
    </row>
    <row r="516" spans="3:14" ht="13.5" customHeight="1" x14ac:dyDescent="0.2">
      <c r="C516" s="746"/>
      <c r="D516" s="747"/>
      <c r="E516" s="747"/>
      <c r="F516" s="747"/>
      <c r="G516" s="747"/>
      <c r="H516" s="747"/>
      <c r="I516" s="747"/>
      <c r="J516" s="747"/>
      <c r="K516" s="747"/>
      <c r="L516" s="747"/>
      <c r="M516" s="747"/>
      <c r="N516" s="748"/>
    </row>
    <row r="517" spans="3:14" ht="13.5" customHeight="1" x14ac:dyDescent="0.2">
      <c r="C517" s="746"/>
      <c r="D517" s="747"/>
      <c r="E517" s="747"/>
      <c r="F517" s="747"/>
      <c r="G517" s="747"/>
      <c r="H517" s="747"/>
      <c r="I517" s="747"/>
      <c r="J517" s="747"/>
      <c r="K517" s="747"/>
      <c r="L517" s="747"/>
      <c r="M517" s="747"/>
      <c r="N517" s="748"/>
    </row>
    <row r="518" spans="3:14" ht="13.5" customHeight="1" x14ac:dyDescent="0.2">
      <c r="C518" s="746"/>
      <c r="D518" s="747"/>
      <c r="E518" s="747"/>
      <c r="F518" s="747"/>
      <c r="G518" s="747"/>
      <c r="H518" s="747"/>
      <c r="I518" s="747"/>
      <c r="J518" s="747"/>
      <c r="K518" s="747"/>
      <c r="L518" s="747"/>
      <c r="M518" s="747"/>
      <c r="N518" s="748"/>
    </row>
    <row r="519" spans="3:14" ht="13.5" customHeight="1" x14ac:dyDescent="0.2">
      <c r="C519" s="746"/>
      <c r="D519" s="747"/>
      <c r="E519" s="747"/>
      <c r="F519" s="747"/>
      <c r="G519" s="747"/>
      <c r="H519" s="747"/>
      <c r="I519" s="747"/>
      <c r="J519" s="747"/>
      <c r="K519" s="747"/>
      <c r="L519" s="747"/>
      <c r="M519" s="747"/>
      <c r="N519" s="748"/>
    </row>
    <row r="520" spans="3:14" ht="13.5" customHeight="1" x14ac:dyDescent="0.2">
      <c r="C520" s="746"/>
      <c r="D520" s="747"/>
      <c r="E520" s="747"/>
      <c r="F520" s="747"/>
      <c r="G520" s="747"/>
      <c r="H520" s="747"/>
      <c r="I520" s="747"/>
      <c r="J520" s="747"/>
      <c r="K520" s="747"/>
      <c r="L520" s="747"/>
      <c r="M520" s="747"/>
      <c r="N520" s="748"/>
    </row>
    <row r="521" spans="3:14" ht="13.5" customHeight="1" x14ac:dyDescent="0.2">
      <c r="C521" s="746"/>
      <c r="D521" s="747"/>
      <c r="E521" s="747"/>
      <c r="F521" s="747"/>
      <c r="G521" s="747"/>
      <c r="H521" s="747"/>
      <c r="I521" s="747"/>
      <c r="J521" s="747"/>
      <c r="K521" s="747"/>
      <c r="L521" s="747"/>
      <c r="M521" s="747"/>
      <c r="N521" s="748"/>
    </row>
    <row r="522" spans="3:14" ht="13.5" customHeight="1" x14ac:dyDescent="0.2">
      <c r="C522" s="746"/>
      <c r="D522" s="747"/>
      <c r="E522" s="747"/>
      <c r="F522" s="747"/>
      <c r="G522" s="747"/>
      <c r="H522" s="747"/>
      <c r="I522" s="747"/>
      <c r="J522" s="747"/>
      <c r="K522" s="747"/>
      <c r="L522" s="747"/>
      <c r="M522" s="747"/>
      <c r="N522" s="748"/>
    </row>
    <row r="523" spans="3:14" ht="13.5" customHeight="1" x14ac:dyDescent="0.2">
      <c r="C523" s="746"/>
      <c r="D523" s="747"/>
      <c r="E523" s="747"/>
      <c r="F523" s="747"/>
      <c r="G523" s="747"/>
      <c r="H523" s="747"/>
      <c r="I523" s="747"/>
      <c r="J523" s="747"/>
      <c r="K523" s="747"/>
      <c r="L523" s="747"/>
      <c r="M523" s="747"/>
      <c r="N523" s="748"/>
    </row>
    <row r="524" spans="3:14" ht="13.5" customHeight="1" x14ac:dyDescent="0.2">
      <c r="C524" s="746"/>
      <c r="D524" s="747"/>
      <c r="E524" s="747"/>
      <c r="F524" s="747"/>
      <c r="G524" s="747"/>
      <c r="H524" s="747"/>
      <c r="I524" s="747"/>
      <c r="J524" s="747"/>
      <c r="K524" s="747"/>
      <c r="L524" s="747"/>
      <c r="M524" s="747"/>
      <c r="N524" s="748"/>
    </row>
    <row r="525" spans="3:14" ht="13.5" customHeight="1" x14ac:dyDescent="0.2">
      <c r="C525" s="746"/>
      <c r="D525" s="747"/>
      <c r="E525" s="747"/>
      <c r="F525" s="747"/>
      <c r="G525" s="747"/>
      <c r="H525" s="747"/>
      <c r="I525" s="747"/>
      <c r="J525" s="747"/>
      <c r="K525" s="747"/>
      <c r="L525" s="747"/>
      <c r="M525" s="747"/>
      <c r="N525" s="748"/>
    </row>
    <row r="526" spans="3:14" ht="13.5" customHeight="1" x14ac:dyDescent="0.2">
      <c r="C526" s="746"/>
      <c r="D526" s="747"/>
      <c r="E526" s="747"/>
      <c r="F526" s="747"/>
      <c r="G526" s="747"/>
      <c r="H526" s="747"/>
      <c r="I526" s="747"/>
      <c r="J526" s="747"/>
      <c r="K526" s="747"/>
      <c r="L526" s="747"/>
      <c r="M526" s="747"/>
      <c r="N526" s="748"/>
    </row>
    <row r="527" spans="3:14" ht="13.5" customHeight="1" x14ac:dyDescent="0.2">
      <c r="C527" s="746"/>
      <c r="D527" s="747"/>
      <c r="E527" s="747"/>
      <c r="F527" s="747"/>
      <c r="G527" s="747"/>
      <c r="H527" s="747"/>
      <c r="I527" s="747"/>
      <c r="J527" s="747"/>
      <c r="K527" s="747"/>
      <c r="L527" s="747"/>
      <c r="M527" s="747"/>
      <c r="N527" s="748"/>
    </row>
    <row r="528" spans="3:14" ht="13.5" customHeight="1" x14ac:dyDescent="0.2">
      <c r="C528" s="746"/>
      <c r="D528" s="747"/>
      <c r="E528" s="747"/>
      <c r="F528" s="747"/>
      <c r="G528" s="747"/>
      <c r="H528" s="747"/>
      <c r="I528" s="747"/>
      <c r="J528" s="747"/>
      <c r="K528" s="747"/>
      <c r="L528" s="747"/>
      <c r="M528" s="747"/>
      <c r="N528" s="748"/>
    </row>
    <row r="529" spans="3:14" ht="13.5" customHeight="1" x14ac:dyDescent="0.2">
      <c r="C529" s="746"/>
      <c r="D529" s="747"/>
      <c r="E529" s="747"/>
      <c r="F529" s="747"/>
      <c r="G529" s="747"/>
      <c r="H529" s="747"/>
      <c r="I529" s="747"/>
      <c r="J529" s="747"/>
      <c r="K529" s="747"/>
      <c r="L529" s="747"/>
      <c r="M529" s="747"/>
      <c r="N529" s="748"/>
    </row>
    <row r="530" spans="3:14" ht="13.5" customHeight="1" x14ac:dyDescent="0.2">
      <c r="C530" s="746"/>
      <c r="D530" s="747"/>
      <c r="E530" s="747"/>
      <c r="F530" s="747"/>
      <c r="G530" s="747"/>
      <c r="H530" s="747"/>
      <c r="I530" s="747"/>
      <c r="J530" s="747"/>
      <c r="K530" s="747"/>
      <c r="L530" s="747"/>
      <c r="M530" s="747"/>
      <c r="N530" s="748"/>
    </row>
    <row r="531" spans="3:14" ht="13.5" customHeight="1" x14ac:dyDescent="0.2">
      <c r="C531" s="746"/>
      <c r="D531" s="747"/>
      <c r="E531" s="747"/>
      <c r="F531" s="747"/>
      <c r="G531" s="747"/>
      <c r="H531" s="747"/>
      <c r="I531" s="747"/>
      <c r="J531" s="747"/>
      <c r="K531" s="747"/>
      <c r="L531" s="747"/>
      <c r="M531" s="747"/>
      <c r="N531" s="748"/>
    </row>
    <row r="532" spans="3:14" ht="13.5" customHeight="1" x14ac:dyDescent="0.2">
      <c r="C532" s="746"/>
      <c r="D532" s="747"/>
      <c r="E532" s="747"/>
      <c r="F532" s="747"/>
      <c r="G532" s="747"/>
      <c r="H532" s="747"/>
      <c r="I532" s="747"/>
      <c r="J532" s="747"/>
      <c r="K532" s="747"/>
      <c r="L532" s="747"/>
      <c r="M532" s="747"/>
      <c r="N532" s="748"/>
    </row>
    <row r="533" spans="3:14" ht="13.5" customHeight="1" x14ac:dyDescent="0.2">
      <c r="C533" s="746"/>
      <c r="D533" s="747"/>
      <c r="E533" s="747"/>
      <c r="F533" s="747"/>
      <c r="G533" s="747"/>
      <c r="H533" s="747"/>
      <c r="I533" s="747"/>
      <c r="J533" s="747"/>
      <c r="K533" s="747"/>
      <c r="L533" s="747"/>
      <c r="M533" s="747"/>
      <c r="N533" s="748"/>
    </row>
    <row r="534" spans="3:14" ht="13.5" customHeight="1" x14ac:dyDescent="0.2">
      <c r="C534" s="746"/>
      <c r="D534" s="747"/>
      <c r="E534" s="747"/>
      <c r="F534" s="747"/>
      <c r="G534" s="747"/>
      <c r="H534" s="747"/>
      <c r="I534" s="747"/>
      <c r="J534" s="747"/>
      <c r="K534" s="747"/>
      <c r="L534" s="747"/>
      <c r="M534" s="747"/>
      <c r="N534" s="748"/>
    </row>
    <row r="535" spans="3:14" ht="13.5" customHeight="1" x14ac:dyDescent="0.2">
      <c r="C535" s="746"/>
      <c r="D535" s="747"/>
      <c r="E535" s="747"/>
      <c r="F535" s="747"/>
      <c r="G535" s="747"/>
      <c r="H535" s="747"/>
      <c r="I535" s="747"/>
      <c r="J535" s="747"/>
      <c r="K535" s="747"/>
      <c r="L535" s="747"/>
      <c r="M535" s="747"/>
      <c r="N535" s="748"/>
    </row>
    <row r="536" spans="3:14" ht="13.5" customHeight="1" x14ac:dyDescent="0.2">
      <c r="C536" s="746"/>
      <c r="D536" s="747"/>
      <c r="E536" s="747"/>
      <c r="F536" s="747"/>
      <c r="G536" s="747"/>
      <c r="H536" s="747"/>
      <c r="I536" s="747"/>
      <c r="J536" s="747"/>
      <c r="K536" s="747"/>
      <c r="L536" s="747"/>
      <c r="M536" s="747"/>
      <c r="N536" s="748"/>
    </row>
    <row r="537" spans="3:14" ht="13.5" customHeight="1" x14ac:dyDescent="0.2">
      <c r="C537" s="746"/>
      <c r="D537" s="747"/>
      <c r="E537" s="747"/>
      <c r="F537" s="747"/>
      <c r="G537" s="747"/>
      <c r="H537" s="747"/>
      <c r="I537" s="747"/>
      <c r="J537" s="747"/>
      <c r="K537" s="747"/>
      <c r="L537" s="747"/>
      <c r="M537" s="747"/>
      <c r="N537" s="748"/>
    </row>
    <row r="538" spans="3:14" ht="13.5" customHeight="1" x14ac:dyDescent="0.2">
      <c r="C538" s="746"/>
      <c r="D538" s="747"/>
      <c r="E538" s="747"/>
      <c r="F538" s="747"/>
      <c r="G538" s="747"/>
      <c r="H538" s="747"/>
      <c r="I538" s="747"/>
      <c r="J538" s="747"/>
      <c r="K538" s="747"/>
      <c r="L538" s="747"/>
      <c r="M538" s="747"/>
      <c r="N538" s="748"/>
    </row>
    <row r="539" spans="3:14" ht="13.5" customHeight="1" x14ac:dyDescent="0.2">
      <c r="C539" s="746"/>
      <c r="D539" s="747"/>
      <c r="E539" s="747"/>
      <c r="F539" s="747"/>
      <c r="G539" s="747"/>
      <c r="H539" s="747"/>
      <c r="I539" s="747"/>
      <c r="J539" s="747"/>
      <c r="K539" s="747"/>
      <c r="L539" s="747"/>
      <c r="M539" s="747"/>
      <c r="N539" s="748"/>
    </row>
    <row r="540" spans="3:14" ht="13.5" customHeight="1" x14ac:dyDescent="0.2">
      <c r="C540" s="746"/>
      <c r="D540" s="747"/>
      <c r="E540" s="747"/>
      <c r="F540" s="747"/>
      <c r="G540" s="747"/>
      <c r="H540" s="747"/>
      <c r="I540" s="747"/>
      <c r="J540" s="747"/>
      <c r="K540" s="747"/>
      <c r="L540" s="747"/>
      <c r="M540" s="747"/>
      <c r="N540" s="748"/>
    </row>
    <row r="541" spans="3:14" ht="13.5" customHeight="1" x14ac:dyDescent="0.2">
      <c r="C541" s="746"/>
      <c r="D541" s="747"/>
      <c r="E541" s="747"/>
      <c r="F541" s="747"/>
      <c r="G541" s="747"/>
      <c r="H541" s="747"/>
      <c r="I541" s="747"/>
      <c r="J541" s="747"/>
      <c r="K541" s="747"/>
      <c r="L541" s="747"/>
      <c r="M541" s="747"/>
      <c r="N541" s="748"/>
    </row>
    <row r="542" spans="3:14" ht="13.5" customHeight="1" x14ac:dyDescent="0.2">
      <c r="C542" s="746"/>
      <c r="D542" s="747"/>
      <c r="E542" s="747"/>
      <c r="F542" s="747"/>
      <c r="G542" s="747"/>
      <c r="H542" s="747"/>
      <c r="I542" s="747"/>
      <c r="J542" s="747"/>
      <c r="K542" s="747"/>
      <c r="L542" s="747"/>
      <c r="M542" s="747"/>
      <c r="N542" s="748"/>
    </row>
    <row r="543" spans="3:14" ht="13.5" customHeight="1" x14ac:dyDescent="0.2">
      <c r="C543" s="746"/>
      <c r="D543" s="747"/>
      <c r="E543" s="747"/>
      <c r="F543" s="747"/>
      <c r="G543" s="747"/>
      <c r="H543" s="747"/>
      <c r="I543" s="747"/>
      <c r="J543" s="747"/>
      <c r="K543" s="747"/>
      <c r="L543" s="747"/>
      <c r="M543" s="747"/>
      <c r="N543" s="748"/>
    </row>
    <row r="544" spans="3:14" ht="13.5" customHeight="1" x14ac:dyDescent="0.2">
      <c r="C544" s="746"/>
      <c r="D544" s="747"/>
      <c r="E544" s="747"/>
      <c r="F544" s="747"/>
      <c r="G544" s="747"/>
      <c r="H544" s="747"/>
      <c r="I544" s="747"/>
      <c r="J544" s="747"/>
      <c r="K544" s="747"/>
      <c r="L544" s="747"/>
      <c r="M544" s="747"/>
      <c r="N544" s="748"/>
    </row>
    <row r="545" spans="3:14" ht="13.5" customHeight="1" x14ac:dyDescent="0.2">
      <c r="C545" s="746"/>
      <c r="D545" s="747"/>
      <c r="E545" s="747"/>
      <c r="F545" s="747"/>
      <c r="G545" s="747"/>
      <c r="H545" s="747"/>
      <c r="I545" s="747"/>
      <c r="J545" s="747"/>
      <c r="K545" s="747"/>
      <c r="L545" s="747"/>
      <c r="M545" s="747"/>
      <c r="N545" s="748"/>
    </row>
    <row r="546" spans="3:14" ht="13.5" customHeight="1" x14ac:dyDescent="0.2">
      <c r="C546" s="746"/>
      <c r="D546" s="747"/>
      <c r="E546" s="747"/>
      <c r="F546" s="747"/>
      <c r="G546" s="747"/>
      <c r="H546" s="747"/>
      <c r="I546" s="747"/>
      <c r="J546" s="747"/>
      <c r="K546" s="747"/>
      <c r="L546" s="747"/>
      <c r="M546" s="747"/>
      <c r="N546" s="748"/>
    </row>
    <row r="547" spans="3:14" ht="13.5" customHeight="1" x14ac:dyDescent="0.2">
      <c r="C547" s="746"/>
      <c r="D547" s="747"/>
      <c r="E547" s="747"/>
      <c r="F547" s="747"/>
      <c r="G547" s="747"/>
      <c r="H547" s="747"/>
      <c r="I547" s="747"/>
      <c r="J547" s="747"/>
      <c r="K547" s="747"/>
      <c r="L547" s="747"/>
      <c r="M547" s="747"/>
      <c r="N547" s="748"/>
    </row>
    <row r="548" spans="3:14" ht="13.5" customHeight="1" x14ac:dyDescent="0.2">
      <c r="C548" s="746"/>
      <c r="D548" s="747"/>
      <c r="E548" s="747"/>
      <c r="F548" s="747"/>
      <c r="G548" s="747"/>
      <c r="H548" s="747"/>
      <c r="I548" s="747"/>
      <c r="J548" s="747"/>
      <c r="K548" s="747"/>
      <c r="L548" s="747"/>
      <c r="M548" s="747"/>
      <c r="N548" s="748"/>
    </row>
    <row r="549" spans="3:14" ht="13.5" customHeight="1" x14ac:dyDescent="0.2">
      <c r="C549" s="746"/>
      <c r="D549" s="747"/>
      <c r="E549" s="747"/>
      <c r="F549" s="747"/>
      <c r="G549" s="747"/>
      <c r="H549" s="747"/>
      <c r="I549" s="747"/>
      <c r="J549" s="747"/>
      <c r="K549" s="747"/>
      <c r="L549" s="747"/>
      <c r="M549" s="747"/>
      <c r="N549" s="748"/>
    </row>
    <row r="550" spans="3:14" ht="13.5" customHeight="1" x14ac:dyDescent="0.2">
      <c r="C550" s="749"/>
      <c r="D550" s="750"/>
      <c r="E550" s="750"/>
      <c r="F550" s="750"/>
      <c r="G550" s="750"/>
      <c r="H550" s="750"/>
      <c r="I550" s="750"/>
      <c r="J550" s="750"/>
      <c r="K550" s="750"/>
      <c r="L550" s="750"/>
      <c r="M550" s="750"/>
      <c r="N550" s="751"/>
    </row>
    <row r="551" spans="3:14" ht="13.5" customHeight="1" x14ac:dyDescent="0.2"/>
    <row r="552" spans="3:14" ht="13.5" customHeight="1" x14ac:dyDescent="0.2"/>
    <row r="553" spans="3:14" x14ac:dyDescent="0.2">
      <c r="C553" s="728" t="s">
        <v>224</v>
      </c>
      <c r="D553" s="729"/>
      <c r="E553" s="729"/>
      <c r="F553" s="729"/>
      <c r="G553" s="729"/>
      <c r="H553" s="729"/>
      <c r="I553" s="729"/>
      <c r="J553" s="729"/>
      <c r="K553" s="729"/>
      <c r="L553" s="729"/>
      <c r="M553" s="729"/>
      <c r="N553" s="730"/>
    </row>
    <row r="554" spans="3:14" x14ac:dyDescent="0.2">
      <c r="C554" s="731"/>
      <c r="D554" s="732"/>
      <c r="E554" s="732"/>
      <c r="F554" s="732"/>
      <c r="G554" s="732"/>
      <c r="H554" s="732"/>
      <c r="I554" s="732"/>
      <c r="J554" s="732"/>
      <c r="K554" s="732"/>
      <c r="L554" s="732"/>
      <c r="M554" s="732"/>
      <c r="N554" s="733"/>
    </row>
    <row r="555" spans="3:14" x14ac:dyDescent="0.2">
      <c r="C555" s="731"/>
      <c r="D555" s="732"/>
      <c r="E555" s="732"/>
      <c r="F555" s="732"/>
      <c r="G555" s="732"/>
      <c r="H555" s="732"/>
      <c r="I555" s="732"/>
      <c r="J555" s="732"/>
      <c r="K555" s="732"/>
      <c r="L555" s="732"/>
      <c r="M555" s="732"/>
      <c r="N555" s="733"/>
    </row>
    <row r="556" spans="3:14" x14ac:dyDescent="0.2">
      <c r="C556" s="731"/>
      <c r="D556" s="732"/>
      <c r="E556" s="732"/>
      <c r="F556" s="732"/>
      <c r="G556" s="732"/>
      <c r="H556" s="732"/>
      <c r="I556" s="732"/>
      <c r="J556" s="732"/>
      <c r="K556" s="732"/>
      <c r="L556" s="732"/>
      <c r="M556" s="732"/>
      <c r="N556" s="733"/>
    </row>
    <row r="557" spans="3:14" x14ac:dyDescent="0.2">
      <c r="C557" s="731"/>
      <c r="D557" s="732"/>
      <c r="E557" s="732"/>
      <c r="F557" s="732"/>
      <c r="G557" s="732"/>
      <c r="H557" s="732"/>
      <c r="I557" s="732"/>
      <c r="J557" s="732"/>
      <c r="K557" s="732"/>
      <c r="L557" s="732"/>
      <c r="M557" s="732"/>
      <c r="N557" s="733"/>
    </row>
    <row r="558" spans="3:14" x14ac:dyDescent="0.2">
      <c r="C558" s="731"/>
      <c r="D558" s="732"/>
      <c r="E558" s="732"/>
      <c r="F558" s="732"/>
      <c r="G558" s="732"/>
      <c r="H558" s="732"/>
      <c r="I558" s="732"/>
      <c r="J558" s="732"/>
      <c r="K558" s="732"/>
      <c r="L558" s="732"/>
      <c r="M558" s="732"/>
      <c r="N558" s="733"/>
    </row>
    <row r="559" spans="3:14" x14ac:dyDescent="0.2">
      <c r="C559" s="731"/>
      <c r="D559" s="732"/>
      <c r="E559" s="732"/>
      <c r="F559" s="732"/>
      <c r="G559" s="732"/>
      <c r="H559" s="732"/>
      <c r="I559" s="732"/>
      <c r="J559" s="732"/>
      <c r="K559" s="732"/>
      <c r="L559" s="732"/>
      <c r="M559" s="732"/>
      <c r="N559" s="733"/>
    </row>
    <row r="560" spans="3:14" x14ac:dyDescent="0.2">
      <c r="C560" s="731"/>
      <c r="D560" s="732"/>
      <c r="E560" s="732"/>
      <c r="F560" s="732"/>
      <c r="G560" s="732"/>
      <c r="H560" s="732"/>
      <c r="I560" s="732"/>
      <c r="J560" s="732"/>
      <c r="K560" s="732"/>
      <c r="L560" s="732"/>
      <c r="M560" s="732"/>
      <c r="N560" s="733"/>
    </row>
    <row r="561" spans="3:14" x14ac:dyDescent="0.2">
      <c r="C561" s="734"/>
      <c r="D561" s="735"/>
      <c r="E561" s="735"/>
      <c r="F561" s="735"/>
      <c r="G561" s="735"/>
      <c r="H561" s="735"/>
      <c r="I561" s="735"/>
      <c r="J561" s="735"/>
      <c r="K561" s="735"/>
      <c r="L561" s="735"/>
      <c r="M561" s="735"/>
      <c r="N561" s="736"/>
    </row>
    <row r="562" spans="3:14" x14ac:dyDescent="0.2">
      <c r="F562" s="285"/>
      <c r="G562" s="285"/>
      <c r="H562" s="285"/>
      <c r="I562" s="285"/>
      <c r="J562" s="285"/>
      <c r="K562" s="285"/>
    </row>
    <row r="563" spans="3:14" x14ac:dyDescent="0.2">
      <c r="F563" s="285"/>
      <c r="G563" s="285"/>
      <c r="H563" s="285"/>
      <c r="I563" s="285"/>
      <c r="J563" s="285"/>
      <c r="K563" s="285"/>
    </row>
    <row r="564" spans="3:14" x14ac:dyDescent="0.2">
      <c r="F564" s="285"/>
      <c r="G564" s="285"/>
      <c r="H564" s="285"/>
      <c r="I564" s="285"/>
      <c r="J564" s="285"/>
      <c r="K564" s="285"/>
    </row>
    <row r="565" spans="3:14" x14ac:dyDescent="0.2">
      <c r="F565" s="285"/>
      <c r="G565" s="285"/>
      <c r="H565" s="285"/>
      <c r="I565" s="285"/>
      <c r="J565" s="285"/>
      <c r="K565" s="285"/>
    </row>
    <row r="566" spans="3:14" x14ac:dyDescent="0.2">
      <c r="F566" s="285"/>
      <c r="G566" s="285"/>
      <c r="H566" s="285"/>
      <c r="I566" s="285"/>
      <c r="J566" s="285"/>
      <c r="K566" s="285"/>
    </row>
    <row r="567" spans="3:14" x14ac:dyDescent="0.2">
      <c r="F567" s="489"/>
      <c r="G567" s="285"/>
      <c r="H567" s="285"/>
      <c r="I567" s="285"/>
      <c r="J567" s="285"/>
      <c r="K567" s="285"/>
    </row>
    <row r="568" spans="3:14" x14ac:dyDescent="0.2">
      <c r="F568" s="489"/>
      <c r="G568" s="285"/>
      <c r="H568" s="285"/>
      <c r="I568" s="285"/>
      <c r="J568" s="285"/>
      <c r="K568" s="285"/>
    </row>
    <row r="569" spans="3:14" x14ac:dyDescent="0.2">
      <c r="F569" s="489"/>
      <c r="G569" s="285"/>
      <c r="H569" s="285"/>
      <c r="I569" s="285"/>
      <c r="J569" s="285"/>
      <c r="K569" s="285"/>
    </row>
    <row r="570" spans="3:14" x14ac:dyDescent="0.2">
      <c r="F570" s="489"/>
      <c r="G570" s="285"/>
      <c r="H570" s="285"/>
      <c r="I570" s="285"/>
      <c r="J570" s="285"/>
      <c r="K570" s="285"/>
    </row>
    <row r="571" spans="3:14" x14ac:dyDescent="0.2">
      <c r="F571" s="489"/>
      <c r="G571" s="285"/>
      <c r="H571" s="285"/>
      <c r="I571" s="285"/>
      <c r="J571" s="285"/>
      <c r="K571" s="285"/>
    </row>
    <row r="572" spans="3:14" x14ac:dyDescent="0.2">
      <c r="F572" s="489"/>
      <c r="G572" s="285"/>
      <c r="H572" s="285"/>
      <c r="I572" s="285"/>
      <c r="J572" s="285"/>
      <c r="K572" s="285"/>
    </row>
    <row r="573" spans="3:14" x14ac:dyDescent="0.2">
      <c r="F573" s="489"/>
      <c r="G573" s="285"/>
      <c r="H573" s="285"/>
      <c r="I573" s="285"/>
      <c r="J573" s="285"/>
      <c r="K573" s="285"/>
    </row>
    <row r="574" spans="3:14" x14ac:dyDescent="0.2">
      <c r="F574" s="285" t="s">
        <v>364</v>
      </c>
      <c r="G574" s="285"/>
      <c r="H574" s="285"/>
      <c r="I574" s="285"/>
      <c r="J574" s="285"/>
      <c r="K574" s="285"/>
    </row>
    <row r="575" spans="3:14" x14ac:dyDescent="0.2">
      <c r="F575" s="285" t="s">
        <v>175</v>
      </c>
      <c r="G575" s="285"/>
      <c r="H575" s="285"/>
      <c r="I575" s="285"/>
      <c r="J575" s="285"/>
      <c r="K575" s="285" t="s">
        <v>72</v>
      </c>
    </row>
    <row r="576" spans="3:14" x14ac:dyDescent="0.2">
      <c r="F576" s="285" t="s">
        <v>176</v>
      </c>
      <c r="G576" s="285"/>
      <c r="H576" s="285"/>
      <c r="I576" s="285"/>
      <c r="J576" s="285"/>
      <c r="K576" s="285"/>
    </row>
    <row r="577" spans="6:11" x14ac:dyDescent="0.2">
      <c r="F577" s="285" t="s">
        <v>177</v>
      </c>
      <c r="G577" s="285"/>
      <c r="H577" s="285"/>
      <c r="I577" s="285"/>
      <c r="J577" s="285"/>
      <c r="K577" s="285"/>
    </row>
    <row r="578" spans="6:11" x14ac:dyDescent="0.2">
      <c r="F578" s="285" t="s">
        <v>178</v>
      </c>
      <c r="G578" s="285"/>
      <c r="H578" s="285"/>
      <c r="I578" s="285"/>
      <c r="J578" s="285"/>
      <c r="K578" s="285"/>
    </row>
    <row r="579" spans="6:11" x14ac:dyDescent="0.2">
      <c r="F579" s="285" t="s">
        <v>179</v>
      </c>
      <c r="G579" s="285"/>
      <c r="H579" s="285"/>
      <c r="I579" s="285"/>
      <c r="J579" s="285"/>
      <c r="K579" s="285"/>
    </row>
    <row r="580" spans="6:11" x14ac:dyDescent="0.2">
      <c r="F580" s="285" t="s">
        <v>180</v>
      </c>
      <c r="G580" s="285"/>
      <c r="H580" s="285"/>
      <c r="I580" s="285"/>
      <c r="J580" s="285"/>
      <c r="K580" s="285"/>
    </row>
    <row r="581" spans="6:11" x14ac:dyDescent="0.2">
      <c r="F581" s="285" t="s">
        <v>181</v>
      </c>
      <c r="G581" s="285"/>
      <c r="H581" s="285"/>
      <c r="I581" s="285"/>
      <c r="J581" s="285"/>
      <c r="K581" s="285"/>
    </row>
    <row r="582" spans="6:11" x14ac:dyDescent="0.2">
      <c r="F582" s="285" t="s">
        <v>182</v>
      </c>
      <c r="G582" s="285"/>
      <c r="H582" s="285"/>
      <c r="I582" s="285"/>
      <c r="J582" s="285"/>
      <c r="K582" s="285"/>
    </row>
    <row r="583" spans="6:11" x14ac:dyDescent="0.2">
      <c r="F583" s="285" t="s">
        <v>183</v>
      </c>
      <c r="G583" s="285"/>
      <c r="H583" s="285"/>
      <c r="I583" s="285"/>
      <c r="J583" s="285"/>
      <c r="K583" s="285"/>
    </row>
    <row r="584" spans="6:11" x14ac:dyDescent="0.2">
      <c r="F584" s="285" t="s">
        <v>1</v>
      </c>
      <c r="G584" s="285"/>
      <c r="H584" s="285"/>
      <c r="I584" s="285"/>
      <c r="J584" s="285"/>
      <c r="K584" s="285"/>
    </row>
    <row r="585" spans="6:11" x14ac:dyDescent="0.2">
      <c r="F585" s="285" t="s">
        <v>2</v>
      </c>
      <c r="G585" s="285"/>
      <c r="H585" s="285"/>
      <c r="I585" s="285"/>
      <c r="J585" s="285"/>
      <c r="K585" s="285"/>
    </row>
    <row r="586" spans="6:11" x14ac:dyDescent="0.2">
      <c r="F586" s="285" t="s">
        <v>3</v>
      </c>
      <c r="G586" s="285"/>
      <c r="H586" s="285"/>
      <c r="I586" s="285"/>
      <c r="J586" s="285"/>
      <c r="K586" s="285"/>
    </row>
    <row r="587" spans="6:11" x14ac:dyDescent="0.2">
      <c r="F587" s="285" t="s">
        <v>4</v>
      </c>
      <c r="G587" s="285"/>
      <c r="H587" s="285"/>
      <c r="I587" s="285"/>
      <c r="J587" s="285"/>
      <c r="K587" s="285"/>
    </row>
    <row r="588" spans="6:11" x14ac:dyDescent="0.2">
      <c r="F588" s="285" t="s">
        <v>5</v>
      </c>
      <c r="G588" s="285"/>
      <c r="H588" s="285"/>
      <c r="I588" s="285"/>
      <c r="J588" s="285"/>
      <c r="K588" s="285"/>
    </row>
    <row r="589" spans="6:11" x14ac:dyDescent="0.2">
      <c r="F589" s="285" t="s">
        <v>6</v>
      </c>
      <c r="G589" s="285"/>
      <c r="H589" s="285"/>
      <c r="I589" s="285"/>
      <c r="J589" s="285"/>
      <c r="K589" s="285"/>
    </row>
    <row r="590" spans="6:11" x14ac:dyDescent="0.2">
      <c r="F590" s="285" t="s">
        <v>7</v>
      </c>
      <c r="G590" s="285"/>
      <c r="H590" s="285"/>
      <c r="I590" s="285"/>
      <c r="J590" s="285"/>
      <c r="K590" s="285"/>
    </row>
    <row r="591" spans="6:11" x14ac:dyDescent="0.2">
      <c r="F591" s="285" t="s">
        <v>8</v>
      </c>
      <c r="G591" s="285"/>
      <c r="H591" s="285"/>
      <c r="I591" s="285"/>
      <c r="J591" s="285"/>
      <c r="K591" s="285"/>
    </row>
    <row r="592" spans="6:11" x14ac:dyDescent="0.2">
      <c r="F592" s="285" t="s">
        <v>9</v>
      </c>
      <c r="G592" s="285"/>
      <c r="H592" s="285"/>
      <c r="I592" s="285"/>
      <c r="J592" s="285"/>
      <c r="K592" s="285"/>
    </row>
    <row r="593" spans="6:11" x14ac:dyDescent="0.2">
      <c r="F593" s="285" t="s">
        <v>10</v>
      </c>
      <c r="G593" s="285"/>
      <c r="H593" s="285"/>
      <c r="I593" s="285"/>
      <c r="J593" s="285"/>
      <c r="K593" s="285"/>
    </row>
    <row r="594" spans="6:11" x14ac:dyDescent="0.2">
      <c r="F594" s="285" t="s">
        <v>11</v>
      </c>
      <c r="G594" s="285"/>
      <c r="H594" s="285"/>
      <c r="I594" s="285"/>
      <c r="J594" s="285"/>
      <c r="K594" s="285"/>
    </row>
    <row r="595" spans="6:11" x14ac:dyDescent="0.2">
      <c r="F595" s="285" t="s">
        <v>12</v>
      </c>
      <c r="G595" s="285"/>
      <c r="H595" s="285"/>
      <c r="I595" s="285"/>
      <c r="J595" s="285"/>
      <c r="K595" s="285"/>
    </row>
    <row r="596" spans="6:11" x14ac:dyDescent="0.2">
      <c r="F596" s="285" t="s">
        <v>13</v>
      </c>
      <c r="G596" s="285"/>
      <c r="H596" s="285"/>
      <c r="I596" s="285"/>
      <c r="J596" s="285"/>
      <c r="K596" s="285"/>
    </row>
    <row r="597" spans="6:11" x14ac:dyDescent="0.2">
      <c r="F597" s="285" t="s">
        <v>14</v>
      </c>
      <c r="G597" s="285"/>
      <c r="H597" s="285"/>
      <c r="I597" s="285"/>
      <c r="J597" s="285"/>
      <c r="K597" s="285"/>
    </row>
    <row r="598" spans="6:11" x14ac:dyDescent="0.2">
      <c r="F598" s="285" t="s">
        <v>15</v>
      </c>
      <c r="G598" s="285"/>
      <c r="H598" s="285"/>
      <c r="I598" s="285"/>
      <c r="J598" s="285"/>
      <c r="K598" s="285"/>
    </row>
    <row r="599" spans="6:11" x14ac:dyDescent="0.2">
      <c r="F599" s="285" t="s">
        <v>16</v>
      </c>
      <c r="G599" s="285"/>
      <c r="H599" s="285"/>
      <c r="I599" s="285"/>
      <c r="J599" s="285"/>
      <c r="K599" s="285"/>
    </row>
    <row r="600" spans="6:11" x14ac:dyDescent="0.2">
      <c r="F600" s="285" t="s">
        <v>17</v>
      </c>
      <c r="G600" s="285"/>
      <c r="H600" s="285"/>
      <c r="I600" s="285"/>
      <c r="J600" s="285"/>
      <c r="K600" s="285"/>
    </row>
    <row r="601" spans="6:11" x14ac:dyDescent="0.2">
      <c r="F601" s="285" t="s">
        <v>18</v>
      </c>
      <c r="G601" s="285"/>
      <c r="H601" s="285"/>
      <c r="I601" s="285"/>
      <c r="J601" s="285"/>
      <c r="K601" s="285"/>
    </row>
    <row r="602" spans="6:11" x14ac:dyDescent="0.2">
      <c r="F602" s="285" t="s">
        <v>19</v>
      </c>
      <c r="G602" s="285"/>
      <c r="H602" s="285"/>
      <c r="I602" s="285"/>
      <c r="J602" s="285"/>
      <c r="K602" s="285"/>
    </row>
    <row r="603" spans="6:11" x14ac:dyDescent="0.2">
      <c r="F603" s="285" t="s">
        <v>20</v>
      </c>
      <c r="G603" s="285"/>
      <c r="H603" s="285"/>
      <c r="I603" s="285"/>
      <c r="J603" s="285"/>
      <c r="K603" s="285"/>
    </row>
    <row r="604" spans="6:11" x14ac:dyDescent="0.2">
      <c r="F604" s="285" t="s">
        <v>21</v>
      </c>
      <c r="G604" s="285"/>
      <c r="H604" s="285"/>
      <c r="I604" s="285"/>
      <c r="J604" s="285"/>
      <c r="K604" s="285"/>
    </row>
    <row r="605" spans="6:11" x14ac:dyDescent="0.2">
      <c r="F605" s="285" t="s">
        <v>22</v>
      </c>
      <c r="G605" s="285"/>
      <c r="H605" s="285"/>
      <c r="I605" s="285"/>
      <c r="J605" s="285"/>
      <c r="K605" s="285"/>
    </row>
    <row r="606" spans="6:11" x14ac:dyDescent="0.2">
      <c r="F606" s="285" t="s">
        <v>23</v>
      </c>
      <c r="G606" s="285"/>
      <c r="H606" s="285"/>
      <c r="I606" s="285"/>
      <c r="J606" s="285"/>
      <c r="K606" s="285"/>
    </row>
    <row r="607" spans="6:11" x14ac:dyDescent="0.2">
      <c r="F607" s="285" t="s">
        <v>24</v>
      </c>
      <c r="G607" s="285"/>
      <c r="H607" s="285"/>
      <c r="I607" s="285"/>
      <c r="J607" s="285"/>
      <c r="K607" s="285"/>
    </row>
    <row r="608" spans="6:11" x14ac:dyDescent="0.2">
      <c r="F608" s="285" t="s">
        <v>25</v>
      </c>
      <c r="G608" s="285"/>
      <c r="H608" s="285"/>
      <c r="I608" s="285"/>
      <c r="J608" s="285"/>
      <c r="K608" s="285"/>
    </row>
    <row r="609" spans="6:11" x14ac:dyDescent="0.2">
      <c r="F609" s="285" t="s">
        <v>26</v>
      </c>
      <c r="G609" s="285"/>
      <c r="H609" s="285"/>
      <c r="I609" s="285"/>
      <c r="J609" s="285"/>
      <c r="K609" s="285"/>
    </row>
    <row r="610" spans="6:11" x14ac:dyDescent="0.2">
      <c r="F610" s="285" t="s">
        <v>27</v>
      </c>
      <c r="G610" s="285"/>
      <c r="H610" s="285"/>
      <c r="I610" s="285"/>
      <c r="J610" s="285"/>
      <c r="K610" s="285"/>
    </row>
    <row r="611" spans="6:11" x14ac:dyDescent="0.2">
      <c r="F611" s="285" t="s">
        <v>28</v>
      </c>
      <c r="G611" s="285"/>
      <c r="H611" s="285"/>
      <c r="I611" s="285"/>
      <c r="J611" s="285"/>
      <c r="K611" s="285"/>
    </row>
    <row r="612" spans="6:11" x14ac:dyDescent="0.2">
      <c r="F612" s="285" t="s">
        <v>29</v>
      </c>
      <c r="G612" s="285"/>
      <c r="H612" s="285"/>
      <c r="I612" s="285"/>
      <c r="J612" s="285"/>
      <c r="K612" s="285"/>
    </row>
    <row r="613" spans="6:11" x14ac:dyDescent="0.2">
      <c r="F613" s="285" t="s">
        <v>30</v>
      </c>
      <c r="G613" s="285"/>
      <c r="H613" s="285"/>
      <c r="I613" s="285"/>
      <c r="J613" s="285"/>
      <c r="K613" s="285"/>
    </row>
    <row r="614" spans="6:11" x14ac:dyDescent="0.2">
      <c r="F614" s="285" t="s">
        <v>31</v>
      </c>
      <c r="G614" s="285"/>
      <c r="H614" s="285"/>
      <c r="I614" s="285"/>
      <c r="J614" s="285"/>
      <c r="K614" s="285"/>
    </row>
    <row r="615" spans="6:11" x14ac:dyDescent="0.2">
      <c r="F615" s="285" t="s">
        <v>32</v>
      </c>
      <c r="G615" s="285"/>
      <c r="H615" s="285"/>
      <c r="I615" s="285"/>
      <c r="J615" s="285"/>
      <c r="K615" s="285"/>
    </row>
    <row r="616" spans="6:11" x14ac:dyDescent="0.2">
      <c r="F616" s="285" t="s">
        <v>33</v>
      </c>
      <c r="G616" s="285"/>
      <c r="H616" s="285"/>
      <c r="I616" s="285"/>
      <c r="J616" s="285"/>
      <c r="K616" s="285"/>
    </row>
    <row r="617" spans="6:11" x14ac:dyDescent="0.2">
      <c r="F617" s="285" t="s">
        <v>34</v>
      </c>
      <c r="G617" s="285"/>
      <c r="H617" s="285"/>
      <c r="I617" s="285"/>
      <c r="J617" s="285"/>
      <c r="K617" s="285"/>
    </row>
    <row r="618" spans="6:11" x14ac:dyDescent="0.2">
      <c r="F618" s="285" t="s">
        <v>35</v>
      </c>
      <c r="G618" s="285"/>
      <c r="H618" s="285"/>
      <c r="I618" s="285"/>
      <c r="J618" s="285"/>
      <c r="K618" s="285"/>
    </row>
    <row r="619" spans="6:11" x14ac:dyDescent="0.2">
      <c r="F619" s="285" t="s">
        <v>36</v>
      </c>
      <c r="G619" s="285"/>
      <c r="H619" s="285"/>
      <c r="I619" s="285"/>
      <c r="J619" s="285"/>
      <c r="K619" s="285"/>
    </row>
    <row r="620" spans="6:11" x14ac:dyDescent="0.2">
      <c r="F620" s="285" t="s">
        <v>37</v>
      </c>
      <c r="G620" s="285"/>
      <c r="H620" s="285"/>
      <c r="I620" s="285"/>
      <c r="J620" s="285"/>
      <c r="K620" s="285"/>
    </row>
    <row r="621" spans="6:11" x14ac:dyDescent="0.2">
      <c r="F621" s="285" t="s">
        <v>38</v>
      </c>
      <c r="G621" s="285"/>
      <c r="H621" s="285"/>
      <c r="I621" s="285"/>
      <c r="J621" s="285"/>
      <c r="K621" s="285"/>
    </row>
    <row r="622" spans="6:11" x14ac:dyDescent="0.2">
      <c r="F622" s="285" t="s">
        <v>39</v>
      </c>
      <c r="G622" s="285"/>
      <c r="H622" s="285"/>
      <c r="I622" s="285"/>
      <c r="J622" s="285"/>
      <c r="K622" s="285"/>
    </row>
    <row r="623" spans="6:11" x14ac:dyDescent="0.2">
      <c r="F623" s="285" t="s">
        <v>40</v>
      </c>
      <c r="G623" s="285"/>
      <c r="H623" s="285"/>
      <c r="I623" s="285"/>
      <c r="J623" s="285"/>
      <c r="K623" s="285"/>
    </row>
    <row r="624" spans="6:11" x14ac:dyDescent="0.2">
      <c r="F624" s="285" t="s">
        <v>41</v>
      </c>
      <c r="G624" s="285"/>
      <c r="H624" s="285"/>
      <c r="I624" s="285"/>
      <c r="J624" s="285"/>
      <c r="K624" s="285"/>
    </row>
    <row r="625" spans="6:11" x14ac:dyDescent="0.2">
      <c r="F625" s="285" t="s">
        <v>42</v>
      </c>
      <c r="G625" s="285"/>
      <c r="H625" s="285"/>
      <c r="I625" s="285"/>
      <c r="J625" s="285"/>
      <c r="K625" s="285"/>
    </row>
    <row r="626" spans="6:11" x14ac:dyDescent="0.2">
      <c r="F626" s="285" t="s">
        <v>43</v>
      </c>
      <c r="G626" s="285"/>
      <c r="H626" s="285"/>
      <c r="I626" s="285"/>
      <c r="J626" s="285"/>
      <c r="K626" s="285"/>
    </row>
    <row r="627" spans="6:11" x14ac:dyDescent="0.2">
      <c r="F627" s="285" t="s">
        <v>44</v>
      </c>
      <c r="G627" s="285"/>
      <c r="H627" s="285"/>
      <c r="I627" s="285"/>
      <c r="J627" s="285"/>
      <c r="K627" s="285"/>
    </row>
    <row r="628" spans="6:11" x14ac:dyDescent="0.2">
      <c r="F628" s="285" t="s">
        <v>45</v>
      </c>
      <c r="G628" s="285"/>
      <c r="H628" s="285"/>
      <c r="I628" s="285"/>
      <c r="J628" s="285"/>
      <c r="K628" s="285"/>
    </row>
    <row r="629" spans="6:11" x14ac:dyDescent="0.2">
      <c r="F629" s="285" t="s">
        <v>46</v>
      </c>
      <c r="G629" s="285"/>
      <c r="H629" s="285"/>
      <c r="I629" s="285"/>
      <c r="J629" s="285"/>
      <c r="K629" s="285"/>
    </row>
    <row r="630" spans="6:11" x14ac:dyDescent="0.2">
      <c r="F630" s="285" t="s">
        <v>47</v>
      </c>
      <c r="G630" s="285"/>
      <c r="H630" s="285"/>
      <c r="I630" s="285"/>
      <c r="J630" s="285"/>
      <c r="K630" s="285"/>
    </row>
    <row r="631" spans="6:11" x14ac:dyDescent="0.2">
      <c r="F631" s="285" t="s">
        <v>48</v>
      </c>
      <c r="G631" s="285"/>
      <c r="H631" s="285"/>
      <c r="I631" s="285"/>
      <c r="J631" s="285"/>
      <c r="K631" s="285"/>
    </row>
    <row r="632" spans="6:11" x14ac:dyDescent="0.2">
      <c r="F632" s="285" t="s">
        <v>49</v>
      </c>
      <c r="G632" s="285"/>
      <c r="H632" s="285"/>
      <c r="I632" s="285"/>
      <c r="J632" s="285"/>
      <c r="K632" s="285"/>
    </row>
    <row r="633" spans="6:11" x14ac:dyDescent="0.2">
      <c r="F633" s="285" t="s">
        <v>50</v>
      </c>
      <c r="G633" s="285"/>
      <c r="H633" s="285"/>
      <c r="I633" s="285"/>
      <c r="J633" s="285"/>
      <c r="K633" s="285"/>
    </row>
    <row r="634" spans="6:11" x14ac:dyDescent="0.2">
      <c r="F634" s="285" t="s">
        <v>51</v>
      </c>
      <c r="G634" s="285"/>
      <c r="H634" s="285"/>
      <c r="I634" s="285"/>
      <c r="J634" s="285"/>
      <c r="K634" s="285"/>
    </row>
    <row r="635" spans="6:11" x14ac:dyDescent="0.2">
      <c r="F635" s="285" t="s">
        <v>52</v>
      </c>
      <c r="G635" s="285"/>
      <c r="H635" s="285"/>
      <c r="I635" s="285"/>
      <c r="J635" s="285"/>
      <c r="K635" s="285"/>
    </row>
    <row r="636" spans="6:11" x14ac:dyDescent="0.2">
      <c r="F636" s="285" t="s">
        <v>53</v>
      </c>
      <c r="G636" s="285"/>
      <c r="H636" s="285"/>
      <c r="I636" s="285"/>
      <c r="J636" s="285"/>
      <c r="K636" s="285"/>
    </row>
    <row r="637" spans="6:11" x14ac:dyDescent="0.2">
      <c r="F637" s="285" t="s">
        <v>54</v>
      </c>
      <c r="G637" s="285"/>
      <c r="H637" s="285"/>
      <c r="I637" s="285"/>
      <c r="J637" s="285"/>
      <c r="K637" s="285"/>
    </row>
    <row r="638" spans="6:11" x14ac:dyDescent="0.2">
      <c r="F638" s="285" t="s">
        <v>55</v>
      </c>
      <c r="G638" s="285"/>
      <c r="H638" s="285"/>
      <c r="I638" s="285"/>
      <c r="J638" s="285"/>
      <c r="K638" s="285"/>
    </row>
    <row r="639" spans="6:11" x14ac:dyDescent="0.2">
      <c r="F639" s="285" t="s">
        <v>56</v>
      </c>
      <c r="G639" s="285"/>
      <c r="H639" s="285"/>
      <c r="I639" s="285"/>
      <c r="J639" s="285"/>
      <c r="K639" s="285"/>
    </row>
    <row r="640" spans="6:11" x14ac:dyDescent="0.2">
      <c r="F640" s="285" t="s">
        <v>57</v>
      </c>
      <c r="G640" s="285"/>
      <c r="H640" s="285"/>
      <c r="I640" s="285"/>
      <c r="J640" s="285"/>
      <c r="K640" s="285"/>
    </row>
    <row r="641" spans="6:11" x14ac:dyDescent="0.2">
      <c r="F641" s="285" t="s">
        <v>58</v>
      </c>
      <c r="G641" s="285"/>
      <c r="H641" s="285"/>
      <c r="I641" s="285"/>
      <c r="J641" s="285"/>
      <c r="K641" s="285"/>
    </row>
    <row r="642" spans="6:11" x14ac:dyDescent="0.2">
      <c r="F642" s="285" t="s">
        <v>59</v>
      </c>
      <c r="G642" s="285"/>
      <c r="H642" s="285"/>
      <c r="I642" s="285"/>
      <c r="J642" s="285"/>
      <c r="K642" s="285"/>
    </row>
    <row r="643" spans="6:11" x14ac:dyDescent="0.2">
      <c r="F643" s="285" t="s">
        <v>60</v>
      </c>
      <c r="G643" s="285"/>
      <c r="H643" s="285"/>
      <c r="I643" s="285"/>
      <c r="J643" s="285"/>
      <c r="K643" s="285"/>
    </row>
    <row r="644" spans="6:11" x14ac:dyDescent="0.2">
      <c r="F644" s="285" t="s">
        <v>61</v>
      </c>
      <c r="G644" s="285"/>
      <c r="H644" s="285"/>
      <c r="I644" s="285"/>
      <c r="J644" s="285"/>
      <c r="K644" s="285"/>
    </row>
    <row r="645" spans="6:11" x14ac:dyDescent="0.2">
      <c r="F645" s="285" t="s">
        <v>62</v>
      </c>
      <c r="G645" s="285"/>
      <c r="H645" s="285"/>
      <c r="I645" s="285"/>
      <c r="J645" s="285"/>
      <c r="K645" s="285"/>
    </row>
    <row r="646" spans="6:11" x14ac:dyDescent="0.2">
      <c r="F646" s="285" t="s">
        <v>63</v>
      </c>
      <c r="G646" s="285"/>
      <c r="H646" s="285"/>
      <c r="I646" s="285"/>
      <c r="J646" s="285"/>
      <c r="K646" s="285"/>
    </row>
    <row r="647" spans="6:11" x14ac:dyDescent="0.2">
      <c r="F647" s="285" t="s">
        <v>64</v>
      </c>
      <c r="G647" s="285"/>
      <c r="H647" s="285"/>
      <c r="I647" s="285"/>
      <c r="J647" s="285"/>
      <c r="K647" s="285"/>
    </row>
    <row r="648" spans="6:11" x14ac:dyDescent="0.2">
      <c r="F648" s="285" t="s">
        <v>65</v>
      </c>
      <c r="G648" s="285"/>
      <c r="H648" s="285"/>
      <c r="I648" s="285"/>
      <c r="J648" s="285"/>
      <c r="K648" s="285"/>
    </row>
    <row r="649" spans="6:11" x14ac:dyDescent="0.2">
      <c r="F649" s="285" t="s">
        <v>66</v>
      </c>
      <c r="G649" s="285"/>
      <c r="H649" s="285"/>
      <c r="I649" s="285"/>
      <c r="J649" s="285"/>
      <c r="K649" s="285"/>
    </row>
    <row r="650" spans="6:11" x14ac:dyDescent="0.2">
      <c r="F650" s="285" t="s">
        <v>67</v>
      </c>
      <c r="G650" s="285"/>
      <c r="H650" s="285"/>
      <c r="I650" s="285"/>
      <c r="J650" s="285"/>
      <c r="K650" s="285"/>
    </row>
    <row r="651" spans="6:11" x14ac:dyDescent="0.2">
      <c r="F651" s="285" t="s">
        <v>68</v>
      </c>
      <c r="G651" s="285"/>
      <c r="H651" s="285"/>
      <c r="I651" s="285"/>
      <c r="J651" s="285"/>
      <c r="K651" s="285"/>
    </row>
    <row r="652" spans="6:11" x14ac:dyDescent="0.2">
      <c r="F652" s="285" t="s">
        <v>69</v>
      </c>
      <c r="G652" s="285"/>
      <c r="H652" s="285"/>
      <c r="I652" s="285"/>
      <c r="J652" s="285"/>
      <c r="K652" s="285"/>
    </row>
    <row r="653" spans="6:11" x14ac:dyDescent="0.2">
      <c r="F653" s="285" t="s">
        <v>70</v>
      </c>
      <c r="G653" s="285"/>
      <c r="H653" s="285"/>
      <c r="I653" s="285"/>
      <c r="J653" s="285"/>
      <c r="K653" s="285"/>
    </row>
    <row r="654" spans="6:11" x14ac:dyDescent="0.2">
      <c r="F654" s="489"/>
    </row>
  </sheetData>
  <mergeCells count="19">
    <mergeCell ref="C376:N428"/>
    <mergeCell ref="C435:N487"/>
    <mergeCell ref="C493:N550"/>
    <mergeCell ref="C553:N561"/>
    <mergeCell ref="D142:E142"/>
    <mergeCell ref="D144:E144"/>
    <mergeCell ref="C194:N236"/>
    <mergeCell ref="C253:N283"/>
    <mergeCell ref="C286:N312"/>
    <mergeCell ref="C317:N358"/>
    <mergeCell ref="C16:N49"/>
    <mergeCell ref="D66:M67"/>
    <mergeCell ref="E70:I70"/>
    <mergeCell ref="E74:I74"/>
    <mergeCell ref="D140:E140"/>
    <mergeCell ref="C129:K131"/>
    <mergeCell ref="D134:E134"/>
    <mergeCell ref="D136:E136"/>
    <mergeCell ref="D138:E13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AH661"/>
  <sheetViews>
    <sheetView zoomScale="85" zoomScaleNormal="85" workbookViewId="0">
      <pane ySplit="4" topLeftCell="A52" activePane="bottomLeft" state="frozen"/>
      <selection pane="bottomLeft" activeCell="A52" sqref="A52"/>
    </sheetView>
  </sheetViews>
  <sheetFormatPr defaultColWidth="0" defaultRowHeight="0" customHeight="1" zeroHeight="1" x14ac:dyDescent="0.2"/>
  <cols>
    <col min="1" max="1" width="5.1640625" style="340" customWidth="1"/>
    <col min="2" max="2" width="91.1640625" style="340" customWidth="1"/>
    <col min="3" max="9" width="20.33203125" style="340" customWidth="1"/>
    <col min="10" max="10" width="2.5" style="340" customWidth="1"/>
    <col min="11" max="11" width="23" style="340" customWidth="1"/>
    <col min="12" max="12" width="2.33203125" style="340" customWidth="1"/>
    <col min="13" max="14" width="9.33203125" style="340" customWidth="1"/>
    <col min="15" max="15" width="11.83203125" style="350" hidden="1" customWidth="1"/>
    <col min="16" max="17" width="0" style="350" hidden="1" customWidth="1"/>
    <col min="18" max="34" width="0" hidden="1" customWidth="1"/>
    <col min="35" max="16384" width="9.33203125" hidden="1"/>
  </cols>
  <sheetData>
    <row r="1" spans="1:33" s="1" customFormat="1" ht="11.25" x14ac:dyDescent="0.2"/>
    <row r="2" spans="1:33" s="1" customFormat="1" ht="18" x14ac:dyDescent="0.2">
      <c r="A2" s="43"/>
      <c r="B2" s="2" t="s">
        <v>267</v>
      </c>
      <c r="C2" s="2"/>
      <c r="D2" s="2"/>
    </row>
    <row r="3" spans="1:33" s="1" customFormat="1" ht="15" x14ac:dyDescent="0.2">
      <c r="B3" s="43"/>
      <c r="C3" s="43"/>
      <c r="D3" s="43"/>
    </row>
    <row r="4" spans="1:33" s="1" customFormat="1" ht="14.25" x14ac:dyDescent="0.2">
      <c r="B4" s="362" t="s">
        <v>265</v>
      </c>
      <c r="C4" s="362"/>
      <c r="D4" s="362"/>
    </row>
    <row r="5" spans="1:33" ht="11.25" x14ac:dyDescent="0.2">
      <c r="W5" s="249"/>
      <c r="AG5" s="339"/>
    </row>
    <row r="6" spans="1:33" ht="14.25" x14ac:dyDescent="0.2">
      <c r="B6" s="270"/>
      <c r="C6" s="270"/>
      <c r="D6" s="270"/>
      <c r="E6" s="344"/>
      <c r="F6" s="344"/>
      <c r="AG6" s="339">
        <v>2</v>
      </c>
    </row>
    <row r="7" spans="1:33" ht="14.25" x14ac:dyDescent="0.2">
      <c r="B7" s="337" t="s">
        <v>348</v>
      </c>
      <c r="C7" s="337"/>
      <c r="D7" s="337"/>
      <c r="E7" s="344"/>
      <c r="F7" s="344"/>
      <c r="T7" s="342"/>
      <c r="AG7" s="339">
        <v>3</v>
      </c>
    </row>
    <row r="8" spans="1:33" ht="14.25" x14ac:dyDescent="0.2">
      <c r="B8" s="270"/>
      <c r="C8" s="270"/>
      <c r="D8" s="270"/>
      <c r="F8" s="272"/>
      <c r="G8" s="272"/>
      <c r="H8" s="272"/>
      <c r="I8" s="272"/>
      <c r="J8" s="272"/>
      <c r="K8" s="270"/>
      <c r="L8" s="270"/>
      <c r="AG8" s="339">
        <v>4</v>
      </c>
    </row>
    <row r="9" spans="1:33" ht="12.75" x14ac:dyDescent="0.2">
      <c r="B9" s="534"/>
      <c r="C9" s="535"/>
      <c r="D9" s="535"/>
      <c r="E9" s="535"/>
      <c r="F9" s="535"/>
      <c r="G9" s="535"/>
      <c r="H9" s="535"/>
      <c r="I9" s="535"/>
      <c r="J9" s="535"/>
      <c r="K9" s="535"/>
      <c r="L9" s="536"/>
      <c r="AG9" s="339"/>
    </row>
    <row r="10" spans="1:33" ht="12.75" x14ac:dyDescent="0.2">
      <c r="B10" s="351"/>
      <c r="C10" s="29"/>
      <c r="D10" s="29"/>
      <c r="E10" s="14"/>
      <c r="F10" s="14"/>
      <c r="G10" s="14"/>
      <c r="H10" s="14"/>
      <c r="I10" s="14"/>
      <c r="J10" s="14"/>
      <c r="K10" s="14"/>
      <c r="L10" s="283"/>
      <c r="AG10" s="339"/>
    </row>
    <row r="11" spans="1:33" ht="12.75" x14ac:dyDescent="0.2">
      <c r="B11" s="351" t="s">
        <v>460</v>
      </c>
      <c r="C11" s="514">
        <v>1</v>
      </c>
      <c r="D11" s="29"/>
      <c r="E11" s="14"/>
      <c r="F11" s="14"/>
      <c r="G11" s="14"/>
      <c r="H11" s="14"/>
      <c r="I11" s="14"/>
      <c r="J11" s="14"/>
      <c r="K11" s="15"/>
      <c r="L11" s="283"/>
      <c r="AG11" s="339"/>
    </row>
    <row r="12" spans="1:33" ht="12.75" x14ac:dyDescent="0.2">
      <c r="B12" s="282"/>
      <c r="C12" s="14"/>
      <c r="D12" s="14"/>
      <c r="E12" s="14"/>
      <c r="F12" s="14"/>
      <c r="G12" s="14"/>
      <c r="H12" s="14"/>
      <c r="I12" s="14"/>
      <c r="J12" s="14"/>
      <c r="K12" s="15"/>
      <c r="L12" s="283"/>
      <c r="AG12" s="339"/>
    </row>
    <row r="13" spans="1:33" ht="12.75" x14ac:dyDescent="0.2">
      <c r="B13" s="282"/>
      <c r="C13" s="14"/>
      <c r="D13" s="14"/>
      <c r="E13" s="14"/>
      <c r="F13" s="493"/>
      <c r="G13" s="493"/>
      <c r="H13" s="493"/>
      <c r="I13" s="493"/>
      <c r="J13" s="493"/>
      <c r="K13" s="15"/>
      <c r="L13" s="283"/>
      <c r="AG13" s="339"/>
    </row>
    <row r="14" spans="1:33" ht="12.75" x14ac:dyDescent="0.2">
      <c r="B14" s="282"/>
      <c r="C14" s="14"/>
      <c r="D14" s="14"/>
      <c r="E14" s="81" t="s">
        <v>268</v>
      </c>
      <c r="F14" s="54" t="s">
        <v>244</v>
      </c>
      <c r="G14" s="81" t="s">
        <v>245</v>
      </c>
      <c r="H14" s="81" t="s">
        <v>245</v>
      </c>
      <c r="I14" s="81" t="s">
        <v>245</v>
      </c>
      <c r="J14" s="81"/>
      <c r="K14" s="15"/>
      <c r="L14" s="283"/>
      <c r="AG14" s="339"/>
    </row>
    <row r="15" spans="1:33" ht="12.75" x14ac:dyDescent="0.2">
      <c r="B15" s="282"/>
      <c r="C15" s="14"/>
      <c r="D15" s="14"/>
      <c r="E15" s="268" t="str">
        <f>'SRP and LTFP'!C4</f>
        <v>2016-17</v>
      </c>
      <c r="F15" s="268" t="str">
        <f>'SRP and LTFP'!D4</f>
        <v>2017-18</v>
      </c>
      <c r="G15" s="268" t="str">
        <f>'SRP and LTFP'!E4</f>
        <v>2018-19</v>
      </c>
      <c r="H15" s="268" t="str">
        <f>'SRP and LTFP'!F4</f>
        <v>2019-20</v>
      </c>
      <c r="I15" s="268" t="str">
        <f>'SRP and LTFP'!G4</f>
        <v>2020-21</v>
      </c>
      <c r="J15" s="15"/>
      <c r="K15" s="15"/>
      <c r="L15" s="283"/>
      <c r="AG15" s="339"/>
    </row>
    <row r="16" spans="1:33" ht="14.25" x14ac:dyDescent="0.2">
      <c r="B16" s="341"/>
      <c r="C16" s="14"/>
      <c r="D16" s="14"/>
      <c r="E16" s="509"/>
      <c r="F16" s="511"/>
      <c r="G16" s="511"/>
      <c r="H16" s="511"/>
      <c r="I16" s="511"/>
      <c r="J16" s="511"/>
      <c r="K16" s="15"/>
      <c r="L16" s="283"/>
      <c r="AG16" s="339"/>
    </row>
    <row r="17" spans="2:33" ht="14.25" x14ac:dyDescent="0.2">
      <c r="B17" s="650" t="s">
        <v>159</v>
      </c>
      <c r="C17" s="14"/>
      <c r="D17" s="14"/>
      <c r="E17" s="510"/>
      <c r="F17" s="512"/>
      <c r="G17" s="512"/>
      <c r="H17" s="512"/>
      <c r="I17" s="512"/>
      <c r="J17" s="512"/>
      <c r="K17" s="15"/>
      <c r="L17" s="283"/>
      <c r="AG17" s="339"/>
    </row>
    <row r="18" spans="2:33" ht="12.75" x14ac:dyDescent="0.2">
      <c r="B18" s="651" t="s">
        <v>146</v>
      </c>
      <c r="C18" s="14"/>
      <c r="D18" s="14"/>
      <c r="E18" s="445">
        <f>4936278+376289+627991</f>
        <v>5940558</v>
      </c>
      <c r="F18" s="445">
        <f>SUM('[15]7.1 Rates and charges'!$C$12:$C$14)</f>
        <v>6254449.8568025203</v>
      </c>
      <c r="G18" s="445">
        <f>'SRP and LTFP'!E11</f>
        <v>6379519</v>
      </c>
      <c r="H18" s="445">
        <f>'SRP and LTFP'!F11</f>
        <v>6507057</v>
      </c>
      <c r="I18" s="445">
        <f>'SRP and LTFP'!G11</f>
        <v>6637286</v>
      </c>
      <c r="J18" s="493"/>
      <c r="K18" s="15"/>
      <c r="L18" s="283"/>
      <c r="AG18" s="339"/>
    </row>
    <row r="19" spans="2:33" ht="12.75" x14ac:dyDescent="0.2">
      <c r="B19" s="651" t="s">
        <v>147</v>
      </c>
      <c r="C19" s="14"/>
      <c r="D19" s="14"/>
      <c r="E19" s="445">
        <f>'SRP and LTFP'!C12</f>
        <v>0</v>
      </c>
      <c r="F19" s="445">
        <f>'SRP and LTFP'!D12</f>
        <v>0</v>
      </c>
      <c r="G19" s="445">
        <f>'SRP and LTFP'!E12</f>
        <v>0</v>
      </c>
      <c r="H19" s="445">
        <f>'SRP and LTFP'!F12</f>
        <v>0</v>
      </c>
      <c r="I19" s="445">
        <f>'SRP and LTFP'!G12</f>
        <v>0</v>
      </c>
      <c r="J19" s="493"/>
      <c r="K19" s="15"/>
      <c r="L19" s="283"/>
      <c r="AG19" s="339"/>
    </row>
    <row r="20" spans="2:33" ht="12.75" x14ac:dyDescent="0.2">
      <c r="B20" s="651" t="s">
        <v>448</v>
      </c>
      <c r="C20" s="14"/>
      <c r="D20" s="14"/>
      <c r="E20" s="445">
        <f>SUM(E18:E19)</f>
        <v>5940558</v>
      </c>
      <c r="F20" s="445">
        <f>F18</f>
        <v>6254449.8568025203</v>
      </c>
      <c r="G20" s="445">
        <f>'SRP and LTFP'!E13</f>
        <v>6379519</v>
      </c>
      <c r="H20" s="445">
        <f>'SRP and LTFP'!F13</f>
        <v>6507057</v>
      </c>
      <c r="I20" s="445">
        <f>'SRP and LTFP'!G13</f>
        <v>6637286</v>
      </c>
      <c r="J20" s="493"/>
      <c r="K20" s="15"/>
      <c r="L20" s="283"/>
      <c r="AG20" s="339"/>
    </row>
    <row r="21" spans="2:33" ht="12.75" x14ac:dyDescent="0.2">
      <c r="B21" s="651" t="s">
        <v>200</v>
      </c>
      <c r="C21" s="14"/>
      <c r="D21" s="14"/>
      <c r="E21" s="445">
        <v>849800</v>
      </c>
      <c r="F21" s="445">
        <f>'[15]7.1 Rates and charges'!$C$55</f>
        <v>868199.60054545454</v>
      </c>
      <c r="G21" s="445">
        <f>'SRP and LTFP'!E14</f>
        <v>890835.85633404111</v>
      </c>
      <c r="H21" s="445">
        <f>'SRP and LTFP'!F14</f>
        <v>913891.40200990799</v>
      </c>
      <c r="I21" s="445">
        <f>'SRP and LTFP'!G14</f>
        <v>937750.09298004245</v>
      </c>
      <c r="J21" s="493"/>
      <c r="K21" s="15"/>
      <c r="L21" s="283"/>
      <c r="AG21" s="339"/>
    </row>
    <row r="22" spans="2:33" ht="12.75" x14ac:dyDescent="0.2">
      <c r="B22" s="651" t="s">
        <v>201</v>
      </c>
      <c r="C22" s="14"/>
      <c r="D22" s="14"/>
      <c r="E22" s="445">
        <f>'SRP and LTFP'!C15</f>
        <v>0</v>
      </c>
      <c r="F22" s="445">
        <f>'SRP and LTFP'!D15</f>
        <v>0</v>
      </c>
      <c r="G22" s="445">
        <f>'SRP and LTFP'!E15</f>
        <v>0</v>
      </c>
      <c r="H22" s="445">
        <f>'SRP and LTFP'!F15</f>
        <v>0</v>
      </c>
      <c r="I22" s="445">
        <f>'SRP and LTFP'!G15</f>
        <v>0</v>
      </c>
      <c r="J22" s="493"/>
      <c r="K22" s="15"/>
      <c r="L22" s="283"/>
      <c r="AG22" s="339"/>
    </row>
    <row r="23" spans="2:33" ht="12.75" x14ac:dyDescent="0.2">
      <c r="B23" s="651" t="s">
        <v>202</v>
      </c>
      <c r="C23" s="14"/>
      <c r="D23" s="14"/>
      <c r="E23" s="445"/>
      <c r="F23" s="445">
        <f>'SRP and LTFP'!D16</f>
        <v>0</v>
      </c>
      <c r="G23" s="445">
        <f>'SRP and LTFP'!E16</f>
        <v>0</v>
      </c>
      <c r="H23" s="445">
        <f>'SRP and LTFP'!F16</f>
        <v>0</v>
      </c>
      <c r="I23" s="445">
        <f>'SRP and LTFP'!G16</f>
        <v>0</v>
      </c>
      <c r="J23" s="493"/>
      <c r="K23" s="15"/>
      <c r="L23" s="283"/>
      <c r="AG23" s="339"/>
    </row>
    <row r="24" spans="2:33" ht="12.75" x14ac:dyDescent="0.2">
      <c r="B24" s="651" t="s">
        <v>203</v>
      </c>
      <c r="C24" s="14"/>
      <c r="D24" s="14"/>
      <c r="E24" s="445">
        <f>10000</f>
        <v>10000</v>
      </c>
      <c r="F24" s="445">
        <f>SUM('[15]7.1 Rates and charges'!$C$54,'[15]7.1 Rates and charges'!$C$56:$C$57)</f>
        <v>-9040.9050083999991</v>
      </c>
      <c r="G24" s="445">
        <f>'SRP and LTFP'!E17</f>
        <v>-9459</v>
      </c>
      <c r="H24" s="445">
        <f>'SRP and LTFP'!F17</f>
        <v>-9558</v>
      </c>
      <c r="I24" s="445">
        <f>'SRP and LTFP'!G17</f>
        <v>-9659</v>
      </c>
      <c r="J24" s="493"/>
      <c r="K24" s="15"/>
      <c r="L24" s="283"/>
      <c r="S24" s="249"/>
      <c r="AG24" s="339"/>
    </row>
    <row r="25" spans="2:33" ht="12.75" x14ac:dyDescent="0.2">
      <c r="B25" s="651" t="s">
        <v>204</v>
      </c>
      <c r="C25" s="14"/>
      <c r="D25" s="14"/>
      <c r="E25" s="445">
        <v>3660</v>
      </c>
      <c r="F25" s="445">
        <f>'[15]7.1 Rates and charges'!$C$15</f>
        <v>3824.1854315499995</v>
      </c>
      <c r="G25" s="445">
        <f>'SRP and LTFP'!E18</f>
        <v>3807</v>
      </c>
      <c r="H25" s="445">
        <f>'SRP and LTFP'!F18</f>
        <v>3883</v>
      </c>
      <c r="I25" s="445">
        <f>'SRP and LTFP'!G18</f>
        <v>3961</v>
      </c>
      <c r="J25" s="493"/>
      <c r="K25" s="15"/>
      <c r="L25" s="283"/>
      <c r="AG25" s="339"/>
    </row>
    <row r="26" spans="2:33" ht="12.75" x14ac:dyDescent="0.2">
      <c r="B26" s="651" t="s">
        <v>205</v>
      </c>
      <c r="C26" s="14"/>
      <c r="D26" s="14"/>
      <c r="E26" s="445">
        <f>'SRP and LTFP'!C19</f>
        <v>0</v>
      </c>
      <c r="F26" s="445">
        <f>'SRP and LTFP'!D19</f>
        <v>0</v>
      </c>
      <c r="G26" s="445">
        <f>'SRP and LTFP'!E19</f>
        <v>0</v>
      </c>
      <c r="H26" s="445">
        <f>'SRP and LTFP'!F19</f>
        <v>0</v>
      </c>
      <c r="I26" s="445">
        <f>'SRP and LTFP'!G19</f>
        <v>0</v>
      </c>
      <c r="J26" s="493"/>
      <c r="K26" s="15"/>
      <c r="L26" s="283"/>
      <c r="AG26" s="339"/>
    </row>
    <row r="27" spans="2:33" ht="12.75" x14ac:dyDescent="0.2">
      <c r="B27" s="652" t="s">
        <v>206</v>
      </c>
      <c r="C27" s="14"/>
      <c r="D27" s="14"/>
      <c r="E27" s="445">
        <f>SUM(E20:E26)</f>
        <v>6804018</v>
      </c>
      <c r="F27" s="445">
        <f>SUM(F20:F26)</f>
        <v>7117432.7377711255</v>
      </c>
      <c r="G27" s="445">
        <f>SUM(G20:G26)</f>
        <v>7264702.8563340409</v>
      </c>
      <c r="H27" s="445">
        <f>SUM(H20:H26)</f>
        <v>7415273.4020099081</v>
      </c>
      <c r="I27" s="445">
        <f>SUM(I20:I26)</f>
        <v>7569338.0929800421</v>
      </c>
      <c r="J27" s="493"/>
      <c r="K27" s="15"/>
      <c r="L27" s="283"/>
      <c r="AG27" s="339"/>
    </row>
    <row r="28" spans="2:33" ht="12.75" x14ac:dyDescent="0.2">
      <c r="B28" s="446"/>
      <c r="C28" s="495"/>
      <c r="D28" s="495"/>
      <c r="E28" s="493"/>
      <c r="F28" s="493"/>
      <c r="G28" s="493"/>
      <c r="H28" s="493"/>
      <c r="I28" s="493"/>
      <c r="J28" s="493"/>
      <c r="K28" s="15"/>
      <c r="L28" s="283"/>
      <c r="AG28" s="339"/>
    </row>
    <row r="29" spans="2:33" ht="14.25" customHeight="1" x14ac:dyDescent="0.2">
      <c r="B29" s="862" t="s">
        <v>373</v>
      </c>
      <c r="C29" s="863"/>
      <c r="D29" s="863"/>
      <c r="E29" s="863"/>
      <c r="F29" s="863"/>
      <c r="G29" s="863"/>
      <c r="H29" s="863"/>
      <c r="I29" s="863"/>
      <c r="J29" s="863"/>
      <c r="K29" s="129"/>
      <c r="L29" s="456"/>
      <c r="AG29" s="339"/>
    </row>
    <row r="30" spans="2:33" ht="11.25" x14ac:dyDescent="0.2">
      <c r="AG30" s="339"/>
    </row>
    <row r="31" spans="2:33" ht="11.25" x14ac:dyDescent="0.2">
      <c r="AG31" s="339"/>
    </row>
    <row r="32" spans="2:33" ht="11.25" x14ac:dyDescent="0.2">
      <c r="K32" s="540"/>
      <c r="AG32" s="339"/>
    </row>
    <row r="33" spans="1:33" ht="14.25" x14ac:dyDescent="0.2">
      <c r="B33" s="337" t="s">
        <v>406</v>
      </c>
      <c r="C33" s="337"/>
      <c r="D33" s="337"/>
      <c r="AG33" s="339"/>
    </row>
    <row r="34" spans="1:33" ht="11.25" x14ac:dyDescent="0.2">
      <c r="AG34" s="339"/>
    </row>
    <row r="35" spans="1:33" ht="11.25" x14ac:dyDescent="0.2">
      <c r="AG35" s="339"/>
    </row>
    <row r="36" spans="1:33" ht="12.75" x14ac:dyDescent="0.2">
      <c r="B36" s="537"/>
      <c r="C36" s="128"/>
      <c r="D36" s="128"/>
      <c r="E36" s="128"/>
      <c r="F36" s="128"/>
      <c r="G36" s="128"/>
      <c r="H36" s="128"/>
      <c r="I36" s="128"/>
      <c r="J36" s="128"/>
      <c r="K36" s="128"/>
      <c r="L36" s="536"/>
      <c r="AG36" s="339"/>
    </row>
    <row r="37" spans="1:33" ht="12.75" x14ac:dyDescent="0.2">
      <c r="B37" s="446"/>
      <c r="C37" s="81" t="s">
        <v>380</v>
      </c>
      <c r="D37" s="54" t="s">
        <v>380</v>
      </c>
      <c r="E37" s="81" t="s">
        <v>405</v>
      </c>
      <c r="F37" s="54" t="s">
        <v>244</v>
      </c>
      <c r="G37" s="81" t="s">
        <v>245</v>
      </c>
      <c r="H37" s="81" t="s">
        <v>245</v>
      </c>
      <c r="I37" s="81" t="s">
        <v>245</v>
      </c>
      <c r="J37" s="81"/>
      <c r="K37" s="14"/>
      <c r="L37" s="283"/>
      <c r="AG37" s="339"/>
    </row>
    <row r="38" spans="1:33" ht="12.75" x14ac:dyDescent="0.2">
      <c r="B38" s="446"/>
      <c r="C38" s="268" t="s">
        <v>351</v>
      </c>
      <c r="D38" s="268" t="s">
        <v>71</v>
      </c>
      <c r="E38" s="268" t="str">
        <f>E15</f>
        <v>2016-17</v>
      </c>
      <c r="F38" s="268" t="str">
        <f>F15</f>
        <v>2017-18</v>
      </c>
      <c r="G38" s="268" t="str">
        <f>G15</f>
        <v>2018-19</v>
      </c>
      <c r="H38" s="268" t="str">
        <f>H15</f>
        <v>2019-20</v>
      </c>
      <c r="I38" s="268" t="str">
        <f>I15</f>
        <v>2020-21</v>
      </c>
      <c r="J38" s="15"/>
      <c r="K38" s="14"/>
      <c r="L38" s="283"/>
      <c r="AG38" s="339"/>
    </row>
    <row r="39" spans="1:33" ht="12.75" x14ac:dyDescent="0.2">
      <c r="B39" s="446"/>
      <c r="C39" s="495"/>
      <c r="D39" s="495"/>
      <c r="E39" s="14"/>
      <c r="F39" s="14"/>
      <c r="G39" s="14"/>
      <c r="H39" s="14"/>
      <c r="I39" s="14"/>
      <c r="J39" s="14"/>
      <c r="K39" s="15"/>
      <c r="L39" s="283"/>
      <c r="AG39" s="339"/>
    </row>
    <row r="40" spans="1:33" ht="12.75" x14ac:dyDescent="0.2">
      <c r="B40" s="647" t="s">
        <v>378</v>
      </c>
      <c r="C40" s="423"/>
      <c r="D40" s="423"/>
      <c r="E40" s="423">
        <f>'[16]ANNUALISED SUPPS'!$I$6</f>
        <v>44560.625285000249</v>
      </c>
      <c r="F40" s="423">
        <v>0</v>
      </c>
      <c r="G40" s="423">
        <v>0</v>
      </c>
      <c r="H40" s="423">
        <v>0</v>
      </c>
      <c r="I40" s="423">
        <v>0</v>
      </c>
      <c r="J40" s="14"/>
      <c r="K40" s="15"/>
      <c r="L40" s="283"/>
      <c r="AG40" s="339"/>
    </row>
    <row r="41" spans="1:33" ht="12.75" x14ac:dyDescent="0.2">
      <c r="A41" s="571"/>
      <c r="B41" s="648"/>
      <c r="C41" s="495"/>
      <c r="D41" s="495"/>
      <c r="E41" s="14"/>
      <c r="F41" s="14"/>
      <c r="G41" s="14"/>
      <c r="H41" s="14"/>
      <c r="I41" s="14"/>
      <c r="J41" s="14"/>
      <c r="K41" s="15"/>
      <c r="L41" s="283"/>
      <c r="AG41" s="339"/>
    </row>
    <row r="42" spans="1:33" ht="27" customHeight="1" x14ac:dyDescent="0.2">
      <c r="A42" s="571"/>
      <c r="B42" s="653" t="s">
        <v>462</v>
      </c>
      <c r="C42" s="495"/>
      <c r="D42" s="495"/>
      <c r="E42" s="420" t="s">
        <v>589</v>
      </c>
      <c r="F42" s="420" t="s">
        <v>590</v>
      </c>
      <c r="G42" s="420" t="s">
        <v>591</v>
      </c>
      <c r="H42" s="420" t="s">
        <v>591</v>
      </c>
      <c r="I42" s="420" t="s">
        <v>591</v>
      </c>
      <c r="J42" s="14"/>
      <c r="K42" s="15"/>
      <c r="L42" s="283"/>
      <c r="AG42" s="339"/>
    </row>
    <row r="43" spans="1:33" ht="12.75" x14ac:dyDescent="0.2">
      <c r="A43" s="571"/>
      <c r="B43" s="648"/>
      <c r="C43" s="495"/>
      <c r="D43" s="495"/>
      <c r="E43" s="14"/>
      <c r="F43" s="14"/>
      <c r="G43" s="14"/>
      <c r="H43" s="14"/>
      <c r="I43" s="14"/>
      <c r="J43" s="14"/>
      <c r="K43" s="15"/>
      <c r="L43" s="283"/>
      <c r="AG43" s="339"/>
    </row>
    <row r="44" spans="1:33" ht="12.75" x14ac:dyDescent="0.2">
      <c r="A44" s="571"/>
      <c r="B44" s="649" t="s">
        <v>350</v>
      </c>
      <c r="C44" s="495"/>
      <c r="D44" s="495"/>
      <c r="E44" s="445">
        <f>D45</f>
        <v>0</v>
      </c>
      <c r="F44" s="445">
        <f>E45</f>
        <v>3063</v>
      </c>
      <c r="G44" s="445">
        <f>F45</f>
        <v>3072</v>
      </c>
      <c r="H44" s="445">
        <f>G45</f>
        <v>3072</v>
      </c>
      <c r="I44" s="445">
        <f>H45</f>
        <v>3072</v>
      </c>
      <c r="J44" s="14"/>
      <c r="K44" s="15"/>
      <c r="L44" s="283"/>
      <c r="AG44" s="339"/>
    </row>
    <row r="45" spans="1:33" ht="12.75" x14ac:dyDescent="0.2">
      <c r="A45" s="571"/>
      <c r="B45" s="649" t="s">
        <v>349</v>
      </c>
      <c r="C45" s="423"/>
      <c r="D45" s="423"/>
      <c r="E45" s="423">
        <f>'[15]7.1 Rates and charges'!$B$24</f>
        <v>3063</v>
      </c>
      <c r="F45" s="423">
        <f>'[15]7.1 Rates and charges'!$C$24</f>
        <v>3072</v>
      </c>
      <c r="G45" s="423">
        <f>G44</f>
        <v>3072</v>
      </c>
      <c r="H45" s="423">
        <f>H44</f>
        <v>3072</v>
      </c>
      <c r="I45" s="423">
        <f>I44</f>
        <v>3072</v>
      </c>
      <c r="J45" s="14"/>
      <c r="K45" s="15"/>
      <c r="L45" s="283"/>
      <c r="AG45" s="339"/>
    </row>
    <row r="46" spans="1:33" ht="12.75" x14ac:dyDescent="0.2">
      <c r="A46" s="571"/>
      <c r="B46" s="648"/>
      <c r="C46" s="495"/>
      <c r="D46" s="495"/>
      <c r="E46" s="14"/>
      <c r="F46" s="14"/>
      <c r="G46" s="14"/>
      <c r="H46" s="14"/>
      <c r="I46" s="14"/>
      <c r="J46" s="14"/>
      <c r="K46" s="15"/>
      <c r="L46" s="283"/>
      <c r="AG46" s="339"/>
    </row>
    <row r="47" spans="1:33" ht="27.75" customHeight="1" x14ac:dyDescent="0.2">
      <c r="A47" s="571"/>
      <c r="B47" s="654" t="s">
        <v>442</v>
      </c>
      <c r="C47" s="495"/>
      <c r="D47" s="495"/>
      <c r="E47" s="423" t="s">
        <v>587</v>
      </c>
      <c r="F47" s="423" t="s">
        <v>588</v>
      </c>
      <c r="G47" s="423" t="s">
        <v>586</v>
      </c>
      <c r="H47" s="423" t="s">
        <v>586</v>
      </c>
      <c r="I47" s="423" t="s">
        <v>586</v>
      </c>
      <c r="J47" s="14"/>
      <c r="K47" s="15"/>
      <c r="L47" s="283"/>
      <c r="AG47" s="339"/>
    </row>
    <row r="48" spans="1:33" ht="12.75" x14ac:dyDescent="0.2">
      <c r="A48" s="571"/>
      <c r="B48" s="648"/>
      <c r="C48" s="495"/>
      <c r="D48" s="495"/>
      <c r="E48" s="14"/>
      <c r="F48" s="14"/>
      <c r="G48" s="14"/>
      <c r="H48" s="14"/>
      <c r="I48" s="14"/>
      <c r="J48" s="14"/>
      <c r="K48" s="15"/>
      <c r="L48" s="283"/>
      <c r="AG48" s="339"/>
    </row>
    <row r="49" spans="1:33" ht="12.75" x14ac:dyDescent="0.2">
      <c r="A49" s="571"/>
      <c r="B49" s="649" t="s">
        <v>379</v>
      </c>
      <c r="C49" s="495"/>
      <c r="D49" s="495"/>
      <c r="E49" s="406">
        <f>IFERROR(E40/E18,"")</f>
        <v>7.5010841212223246E-3</v>
      </c>
      <c r="F49" s="406">
        <f t="shared" ref="F49:I49" si="0">IFERROR(F40/F18,"")</f>
        <v>0</v>
      </c>
      <c r="G49" s="406">
        <f t="shared" si="0"/>
        <v>0</v>
      </c>
      <c r="H49" s="406">
        <f t="shared" si="0"/>
        <v>0</v>
      </c>
      <c r="I49" s="406">
        <f t="shared" si="0"/>
        <v>0</v>
      </c>
      <c r="J49" s="521"/>
      <c r="K49" s="15"/>
      <c r="L49" s="283"/>
      <c r="AG49" s="339"/>
    </row>
    <row r="50" spans="1:33" ht="12.75" x14ac:dyDescent="0.2">
      <c r="A50" s="571"/>
      <c r="B50" s="649" t="s">
        <v>377</v>
      </c>
      <c r="C50" s="495"/>
      <c r="D50" s="406" t="str">
        <f>IFERROR((D45-C45)/C45,"")</f>
        <v/>
      </c>
      <c r="E50" s="406" t="str">
        <f t="shared" ref="E50:I50" si="1">IFERROR((E45-D45)/D45,"")</f>
        <v/>
      </c>
      <c r="F50" s="406">
        <f t="shared" si="1"/>
        <v>2.9382957884427031E-3</v>
      </c>
      <c r="G50" s="406">
        <f t="shared" si="1"/>
        <v>0</v>
      </c>
      <c r="H50" s="406">
        <f t="shared" si="1"/>
        <v>0</v>
      </c>
      <c r="I50" s="406">
        <f t="shared" si="1"/>
        <v>0</v>
      </c>
      <c r="J50" s="521"/>
      <c r="K50" s="15"/>
      <c r="L50" s="283"/>
      <c r="AG50" s="339"/>
    </row>
    <row r="51" spans="1:33" ht="12.75" x14ac:dyDescent="0.2">
      <c r="A51" s="571"/>
      <c r="B51" s="495"/>
      <c r="C51" s="495"/>
      <c r="D51" s="495"/>
      <c r="E51" s="14"/>
      <c r="F51" s="14"/>
      <c r="G51" s="14"/>
      <c r="H51" s="14"/>
      <c r="I51" s="14"/>
      <c r="J51" s="14"/>
      <c r="K51" s="15"/>
      <c r="L51" s="283"/>
      <c r="AG51" s="339"/>
    </row>
    <row r="52" spans="1:33" ht="12.75" x14ac:dyDescent="0.2">
      <c r="A52" s="571"/>
      <c r="B52" s="495"/>
      <c r="C52" s="495"/>
      <c r="D52" s="495"/>
      <c r="E52" s="14"/>
      <c r="F52" s="14"/>
      <c r="G52" s="14"/>
      <c r="H52" s="14"/>
      <c r="I52" s="14"/>
      <c r="J52" s="14"/>
      <c r="K52" s="15"/>
      <c r="L52" s="283"/>
      <c r="AG52" s="339"/>
    </row>
    <row r="53" spans="1:33" ht="12.75" x14ac:dyDescent="0.2">
      <c r="B53" s="346"/>
      <c r="C53" s="496"/>
      <c r="D53" s="496"/>
      <c r="E53" s="129"/>
      <c r="F53" s="129"/>
      <c r="G53" s="129"/>
      <c r="H53" s="129"/>
      <c r="I53" s="129"/>
      <c r="J53" s="129"/>
      <c r="K53" s="538"/>
      <c r="L53" s="456"/>
      <c r="AG53" s="339"/>
    </row>
    <row r="54" spans="1:33" ht="11.25" x14ac:dyDescent="0.2">
      <c r="AG54" s="339"/>
    </row>
    <row r="55" spans="1:33" ht="11.25" x14ac:dyDescent="0.2">
      <c r="AG55" s="339"/>
    </row>
    <row r="56" spans="1:33" ht="14.25" x14ac:dyDescent="0.2">
      <c r="B56" s="337" t="s">
        <v>266</v>
      </c>
      <c r="C56" s="504"/>
      <c r="D56" s="504"/>
      <c r="AG56" s="339"/>
    </row>
    <row r="57" spans="1:33" ht="11.25" x14ac:dyDescent="0.2">
      <c r="AG57" s="339"/>
    </row>
    <row r="58" spans="1:33" ht="14.25" x14ac:dyDescent="0.2">
      <c r="B58" s="501"/>
      <c r="C58" s="502"/>
      <c r="D58" s="502"/>
      <c r="E58" s="503"/>
      <c r="F58" s="503"/>
      <c r="G58" s="503"/>
      <c r="H58" s="503"/>
      <c r="I58" s="503"/>
      <c r="J58" s="128"/>
      <c r="K58" s="522"/>
      <c r="L58" s="523"/>
      <c r="AG58" s="339"/>
    </row>
    <row r="59" spans="1:33" ht="12.75" customHeight="1" x14ac:dyDescent="0.2">
      <c r="B59" s="336"/>
      <c r="C59" s="25"/>
      <c r="D59" s="25"/>
      <c r="E59" s="14"/>
      <c r="F59" s="14"/>
      <c r="G59" s="14"/>
      <c r="H59" s="14"/>
      <c r="I59" s="14"/>
      <c r="J59" s="14"/>
      <c r="K59" s="867" t="s">
        <v>387</v>
      </c>
      <c r="L59" s="520"/>
      <c r="AG59" s="339"/>
    </row>
    <row r="60" spans="1:33" ht="12.75" x14ac:dyDescent="0.2">
      <c r="B60" s="336"/>
      <c r="C60" s="25"/>
      <c r="D60" s="25"/>
      <c r="E60" s="268" t="str">
        <f>E38</f>
        <v>2016-17</v>
      </c>
      <c r="F60" s="268" t="str">
        <f>F38</f>
        <v>2017-18</v>
      </c>
      <c r="G60" s="268" t="str">
        <f>G38</f>
        <v>2018-19</v>
      </c>
      <c r="H60" s="268" t="str">
        <f>H38</f>
        <v>2019-20</v>
      </c>
      <c r="I60" s="268" t="str">
        <f>I38</f>
        <v>2020-21</v>
      </c>
      <c r="J60" s="15"/>
      <c r="K60" s="867"/>
      <c r="L60" s="520"/>
      <c r="AG60" s="339"/>
    </row>
    <row r="61" spans="1:33" ht="12.75" x14ac:dyDescent="0.2">
      <c r="B61" s="500"/>
      <c r="C61" s="499"/>
      <c r="D61" s="25"/>
      <c r="E61" s="507"/>
      <c r="F61" s="508"/>
      <c r="G61" s="508"/>
      <c r="H61" s="508"/>
      <c r="I61" s="508"/>
      <c r="J61" s="508"/>
      <c r="K61" s="867"/>
      <c r="L61" s="520"/>
      <c r="AG61" s="339"/>
    </row>
    <row r="62" spans="1:33" ht="13.5" thickBot="1" x14ac:dyDescent="0.25">
      <c r="B62" s="868" t="s">
        <v>408</v>
      </c>
      <c r="C62" s="869"/>
      <c r="D62" s="25"/>
      <c r="E62" s="607"/>
      <c r="F62" s="658">
        <f>IFERROR((IF(C11&gt;0,F68/E67-1,"")),"")</f>
        <v>4.5000149266831713E-2</v>
      </c>
      <c r="G62" s="539" t="str">
        <f>IFERROR(IF($C$11&gt;1,G68/F67-1,""),"")</f>
        <v/>
      </c>
      <c r="H62" s="539" t="str">
        <f>IFERROR(IF($C$11&gt;2,H68/G67-1,""),"")</f>
        <v/>
      </c>
      <c r="I62" s="539" t="str">
        <f>IFERROR(IF($C$11&gt;3,I68/H67-1,""),"")</f>
        <v/>
      </c>
      <c r="J62" s="524"/>
      <c r="K62" s="525">
        <f>SUM(F62:I62)</f>
        <v>4.5000149266831713E-2</v>
      </c>
      <c r="L62" s="526"/>
      <c r="AG62" s="339"/>
    </row>
    <row r="63" spans="1:33" ht="13.5" thickTop="1" x14ac:dyDescent="0.2">
      <c r="B63" s="856" t="s">
        <v>374</v>
      </c>
      <c r="C63" s="857"/>
      <c r="D63" s="25"/>
      <c r="E63" s="14"/>
      <c r="F63" s="467">
        <f>IFERROR(IF(C11&gt;0,F62,""),"")</f>
        <v>4.5000149266831713E-2</v>
      </c>
      <c r="G63" s="467" t="str">
        <f>IFERROR(IF($C$11&gt;1,G62+F63,""),"")</f>
        <v/>
      </c>
      <c r="H63" s="467" t="str">
        <f>IFERROR(IF($C$11&gt;2,H62+G63,""),"")</f>
        <v/>
      </c>
      <c r="I63" s="467" t="str">
        <f>IFERROR(IF($C$11&gt;3,I62+H63,""),"")</f>
        <v/>
      </c>
      <c r="J63" s="527"/>
      <c r="K63" s="866" t="s">
        <v>388</v>
      </c>
      <c r="L63" s="520"/>
      <c r="AG63" s="339"/>
    </row>
    <row r="64" spans="1:33" ht="12.75" x14ac:dyDescent="0.2">
      <c r="B64" s="858" t="s">
        <v>375</v>
      </c>
      <c r="C64" s="859"/>
      <c r="D64" s="25"/>
      <c r="E64" s="14"/>
      <c r="F64" s="657">
        <f>IFERROR(IF(C11&gt;0,'SRP and LTFP'!D13-'SRP and LTFP'!C13-'Higher cap(s) calculation'!F40,""),"")</f>
        <v>288822.09999999963</v>
      </c>
      <c r="G64" s="608" t="str">
        <f>IFERROR(IF($C$11&gt;1,'SRP and LTFP'!E13-'SRP and LTFP'!D13-'Higher cap(s) calculation'!G40,""),"")</f>
        <v/>
      </c>
      <c r="H64" s="608" t="str">
        <f>IFERROR(IF($C$11&gt;2,'SRP and LTFP'!F13-'SRP and LTFP'!E13-'Higher cap(s) calculation'!H40,""),"")</f>
        <v/>
      </c>
      <c r="I64" s="608" t="str">
        <f>IFERROR(IF($C$11&gt;3,'SRP and LTFP'!G13-'SRP and LTFP'!F13-'Higher cap(s) calculation'!I40,""),"")</f>
        <v/>
      </c>
      <c r="J64" s="528"/>
      <c r="K64" s="865"/>
      <c r="L64" s="520"/>
      <c r="AG64" s="339"/>
    </row>
    <row r="65" spans="2:33" ht="13.5" thickBot="1" x14ac:dyDescent="0.25">
      <c r="B65" s="858" t="s">
        <v>376</v>
      </c>
      <c r="C65" s="859"/>
      <c r="D65" s="25"/>
      <c r="E65" s="14"/>
      <c r="F65" s="518">
        <f>IFERROR(IF(C11&gt;0,F64,""),"")</f>
        <v>288822.09999999963</v>
      </c>
      <c r="G65" s="518" t="str">
        <f>IFERROR(IF($C$11&gt;1,F65+G64,""),"")</f>
        <v/>
      </c>
      <c r="H65" s="518" t="str">
        <f>IFERROR(IF($C$11&gt;2,G65+H64,""),"")</f>
        <v/>
      </c>
      <c r="I65" s="518" t="str">
        <f>IFERROR(IF($C$11&gt;3,H65+I64,""),"")</f>
        <v/>
      </c>
      <c r="J65" s="529"/>
      <c r="K65" s="530">
        <f>SUM(F65:I65)</f>
        <v>288822.09999999963</v>
      </c>
      <c r="L65" s="526"/>
      <c r="AG65" s="339"/>
    </row>
    <row r="66" spans="2:33" ht="13.5" customHeight="1" thickTop="1" x14ac:dyDescent="0.2">
      <c r="B66" s="500"/>
      <c r="C66" s="499"/>
      <c r="D66" s="25"/>
      <c r="E66" s="14"/>
      <c r="F66" s="606"/>
      <c r="G66" s="606"/>
      <c r="H66" s="606"/>
      <c r="I66" s="606"/>
      <c r="J66" s="14"/>
      <c r="K66" s="532"/>
      <c r="L66" s="520"/>
      <c r="AG66" s="339"/>
    </row>
    <row r="67" spans="2:33" ht="12.75" x14ac:dyDescent="0.2">
      <c r="B67" s="858" t="s">
        <v>371</v>
      </c>
      <c r="C67" s="859"/>
      <c r="D67" s="25"/>
      <c r="E67" s="609">
        <f>IFERROR(IF(C11&gt;0,(E20+E40)/E45,""),"")</f>
        <v>1954.005427778322</v>
      </c>
      <c r="F67" s="609">
        <f>IFERROR(IF(C11&gt;0,(F20+F40)/F45,""),"")</f>
        <v>2035.9537294279037</v>
      </c>
      <c r="G67" s="609" t="str">
        <f>IFERROR(IF($C$11&gt;1,(G20+G40)/G45,""),"")</f>
        <v/>
      </c>
      <c r="H67" s="609" t="str">
        <f>IFERROR(IF($C$11&gt;2,(H20+H40)/H45,""),"")</f>
        <v/>
      </c>
      <c r="I67" s="609" t="str">
        <f>IFERROR(IF($C$11&gt;3,(I20+I40)/I45,""),"")</f>
        <v/>
      </c>
      <c r="J67" s="14"/>
      <c r="K67" s="532"/>
      <c r="L67" s="283"/>
      <c r="AG67" s="339"/>
    </row>
    <row r="68" spans="2:33" ht="14.25" x14ac:dyDescent="0.2">
      <c r="B68" s="858" t="s">
        <v>372</v>
      </c>
      <c r="C68" s="859"/>
      <c r="D68" s="25"/>
      <c r="E68" s="610"/>
      <c r="F68" s="609">
        <f>IFERROR(IF(C11&gt;0,F20/F44,""),"")</f>
        <v>2041.935963696546</v>
      </c>
      <c r="G68" s="609" t="str">
        <f>IFERROR(IF($C$11&gt;1,(G20)/G44,""),"")</f>
        <v/>
      </c>
      <c r="H68" s="609" t="str">
        <f>IFERROR(IF($C$11&gt;2,(H20)/H44,""),"")</f>
        <v/>
      </c>
      <c r="I68" s="609" t="str">
        <f>IFERROR(IF($C$11&gt;3,(I20)/I44,""),"")</f>
        <v/>
      </c>
      <c r="J68" s="533"/>
      <c r="K68" s="532"/>
      <c r="L68" s="284"/>
      <c r="AG68" s="339"/>
    </row>
    <row r="69" spans="2:33" ht="26.25" customHeight="1" x14ac:dyDescent="0.2">
      <c r="B69" s="361"/>
      <c r="C69" s="498"/>
      <c r="D69" s="25"/>
      <c r="E69" s="14"/>
      <c r="F69" s="14"/>
      <c r="G69" s="14"/>
      <c r="H69" s="14"/>
      <c r="I69" s="14"/>
      <c r="J69" s="14"/>
      <c r="K69" s="867" t="s">
        <v>381</v>
      </c>
      <c r="L69" s="520"/>
      <c r="AG69" s="339"/>
    </row>
    <row r="70" spans="2:33" ht="12.75" x14ac:dyDescent="0.2">
      <c r="B70" s="336"/>
      <c r="C70" s="498"/>
      <c r="D70" s="25"/>
      <c r="E70" s="14"/>
      <c r="F70" s="14"/>
      <c r="G70" s="14"/>
      <c r="H70" s="14"/>
      <c r="I70" s="14"/>
      <c r="J70" s="14"/>
      <c r="K70" s="865"/>
      <c r="L70" s="520"/>
      <c r="AG70" s="339"/>
    </row>
    <row r="71" spans="2:33" ht="13.5" thickBot="1" x14ac:dyDescent="0.25">
      <c r="B71" s="856" t="s">
        <v>390</v>
      </c>
      <c r="C71" s="857"/>
      <c r="D71" s="498"/>
      <c r="E71" s="14"/>
      <c r="F71" s="519">
        <f>IFERROR(IF(C11&gt;0,(F20-E20)/E20,""),"")</f>
        <v>5.2838783293172181E-2</v>
      </c>
      <c r="G71" s="519" t="str">
        <f>IFERROR(IF($C$11&gt;1,(G20-F20)/F20,""),"")</f>
        <v/>
      </c>
      <c r="H71" s="519" t="str">
        <f>IFERROR(IF($C$11&gt;2,(H20-G20)/G20,""),"")</f>
        <v/>
      </c>
      <c r="I71" s="519" t="str">
        <f>IFERROR(IF(C11&gt;3,(I20-H20)/H20,""),"")</f>
        <v/>
      </c>
      <c r="J71" s="14"/>
      <c r="K71" s="525">
        <f>SUM(F71:I71)</f>
        <v>5.2838783293172181E-2</v>
      </c>
      <c r="L71" s="520"/>
      <c r="AG71" s="339"/>
    </row>
    <row r="72" spans="2:33" ht="15" customHeight="1" thickTop="1" x14ac:dyDescent="0.2">
      <c r="B72" s="856" t="s">
        <v>391</v>
      </c>
      <c r="C72" s="857"/>
      <c r="D72" s="498"/>
      <c r="E72" s="14"/>
      <c r="F72" s="519">
        <f>IFERROR(IF(C11&gt;0,F71,""),"")</f>
        <v>5.2838783293172181E-2</v>
      </c>
      <c r="G72" s="519" t="str">
        <f>IFERROR(IF($C$11&gt;1,F72+G71,""),"")</f>
        <v/>
      </c>
      <c r="H72" s="519" t="str">
        <f>IFERROR(IF($C$11&gt;2,G72+H71,""),"")</f>
        <v/>
      </c>
      <c r="I72" s="519" t="str">
        <f>IFERROR(IF($C$11&gt;3,H72+I71,""),"")</f>
        <v/>
      </c>
      <c r="J72" s="15"/>
      <c r="K72" s="866" t="s">
        <v>386</v>
      </c>
      <c r="L72" s="526"/>
      <c r="AG72" s="339"/>
    </row>
    <row r="73" spans="2:33" ht="13.5" customHeight="1" x14ac:dyDescent="0.2">
      <c r="B73" s="856" t="s">
        <v>392</v>
      </c>
      <c r="C73" s="857"/>
      <c r="D73" s="498"/>
      <c r="E73" s="14"/>
      <c r="F73" s="518">
        <f>IFERROR(IF(C11&gt;0,'SRP and LTFP'!D13-'SRP and LTFP'!C13,""),"")</f>
        <v>288822.09999999963</v>
      </c>
      <c r="G73" s="518" t="str">
        <f>IFERROR(IF(C11&gt;1,'SRP and LTFP'!E13-'SRP and LTFP'!D13,""),"")</f>
        <v/>
      </c>
      <c r="H73" s="518" t="str">
        <f>IFERROR(IF(C11&gt;2,'SRP and LTFP'!F13-'SRP and LTFP'!E13,""),"")</f>
        <v/>
      </c>
      <c r="I73" s="518" t="str">
        <f>IFERROR(IF(C11&gt;3,'SRP and LTFP'!G13-'SRP and LTFP'!F13,""),"")</f>
        <v/>
      </c>
      <c r="J73" s="531"/>
      <c r="K73" s="865"/>
      <c r="L73" s="520"/>
      <c r="AG73" s="339"/>
    </row>
    <row r="74" spans="2:33" ht="13.5" thickBot="1" x14ac:dyDescent="0.25">
      <c r="B74" s="856" t="s">
        <v>393</v>
      </c>
      <c r="C74" s="857"/>
      <c r="D74" s="498"/>
      <c r="E74" s="14"/>
      <c r="F74" s="518">
        <f>IFERROR(IF(C11&gt;0,F73,""),"")</f>
        <v>288822.09999999963</v>
      </c>
      <c r="G74" s="518" t="str">
        <f>IFERROR(IF(C11&gt;1,F74+G73,""),"")</f>
        <v/>
      </c>
      <c r="H74" s="518" t="str">
        <f>IFERROR(IF(C11&gt;2,G74+H73,""),"")</f>
        <v/>
      </c>
      <c r="I74" s="518" t="str">
        <f>IFERROR(IF(C11&gt;3,H74+I73,""),"")</f>
        <v/>
      </c>
      <c r="J74" s="531"/>
      <c r="K74" s="530">
        <f>SUM(F74:I74)</f>
        <v>288822.09999999963</v>
      </c>
      <c r="L74" s="520"/>
      <c r="AG74" s="339"/>
    </row>
    <row r="75" spans="2:33" ht="13.5" thickTop="1" x14ac:dyDescent="0.2">
      <c r="B75" s="505"/>
      <c r="C75" s="506"/>
      <c r="D75" s="25"/>
      <c r="E75" s="345"/>
      <c r="F75" s="345"/>
      <c r="G75" s="345"/>
      <c r="H75" s="345"/>
      <c r="I75" s="345"/>
      <c r="J75" s="15"/>
      <c r="K75" s="14"/>
      <c r="L75" s="526"/>
      <c r="AG75" s="339"/>
    </row>
    <row r="76" spans="2:33" ht="20.25" customHeight="1" x14ac:dyDescent="0.2">
      <c r="B76" s="500"/>
      <c r="C76" s="29"/>
      <c r="D76" s="14"/>
      <c r="E76" s="267"/>
      <c r="F76" s="688"/>
      <c r="G76" s="14"/>
      <c r="H76" s="14"/>
      <c r="I76" s="14"/>
      <c r="J76" s="15"/>
      <c r="K76" s="532"/>
      <c r="L76" s="343"/>
      <c r="AG76" s="339"/>
    </row>
    <row r="77" spans="2:33" ht="14.25" x14ac:dyDescent="0.2">
      <c r="B77" s="386"/>
      <c r="C77" s="129"/>
      <c r="D77" s="129"/>
      <c r="E77" s="349"/>
      <c r="F77" s="349"/>
      <c r="G77" s="129"/>
      <c r="H77" s="129"/>
      <c r="I77" s="129"/>
      <c r="J77" s="129"/>
      <c r="K77" s="347"/>
      <c r="L77" s="348"/>
    </row>
    <row r="78" spans="2:33" ht="11.25" x14ac:dyDescent="0.2"/>
    <row r="79" spans="2:33" ht="11.25" x14ac:dyDescent="0.2"/>
    <row r="80" spans="2:33" ht="14.25" x14ac:dyDescent="0.2">
      <c r="B80" s="337" t="s">
        <v>409</v>
      </c>
      <c r="C80" s="337"/>
      <c r="D80" s="337"/>
      <c r="E80" s="578"/>
      <c r="F80" s="578"/>
      <c r="G80" s="578"/>
      <c r="H80" s="578"/>
      <c r="I80" s="578"/>
      <c r="J80" s="578"/>
      <c r="K80" s="578"/>
      <c r="L80" s="578"/>
    </row>
    <row r="81" spans="2:33" ht="11.25" x14ac:dyDescent="0.2">
      <c r="B81" s="578"/>
      <c r="C81" s="578"/>
      <c r="D81" s="578"/>
      <c r="E81" s="578"/>
      <c r="F81" s="578"/>
      <c r="G81" s="578"/>
      <c r="H81" s="578"/>
      <c r="I81" s="578"/>
      <c r="J81" s="578"/>
      <c r="K81" s="578"/>
      <c r="L81" s="578"/>
      <c r="AG81" s="339"/>
    </row>
    <row r="82" spans="2:33" ht="11.25" x14ac:dyDescent="0.2">
      <c r="B82" s="579"/>
      <c r="C82" s="580"/>
      <c r="D82" s="580"/>
      <c r="E82" s="580"/>
      <c r="F82" s="580"/>
      <c r="G82" s="580"/>
      <c r="H82" s="580"/>
      <c r="I82" s="580"/>
      <c r="J82" s="580"/>
      <c r="K82" s="580"/>
      <c r="L82" s="581"/>
      <c r="AG82" s="339"/>
    </row>
    <row r="83" spans="2:33" ht="14.25" customHeight="1" x14ac:dyDescent="0.2">
      <c r="B83" s="716" t="s">
        <v>382</v>
      </c>
      <c r="C83" s="717"/>
      <c r="D83" s="582"/>
      <c r="E83" s="582"/>
      <c r="F83" s="582"/>
      <c r="G83" s="582"/>
      <c r="H83" s="582"/>
      <c r="I83" s="582"/>
      <c r="J83" s="582"/>
      <c r="K83" s="582"/>
      <c r="L83" s="583"/>
      <c r="AG83" s="339"/>
    </row>
    <row r="84" spans="2:33" ht="12.75" customHeight="1" x14ac:dyDescent="0.2">
      <c r="B84" s="584" t="s">
        <v>384</v>
      </c>
      <c r="C84" s="585">
        <f>K62</f>
        <v>4.5000149266831713E-2</v>
      </c>
      <c r="D84" s="586"/>
      <c r="E84" s="268" t="str">
        <f>E60</f>
        <v>2016-17</v>
      </c>
      <c r="F84" s="268" t="str">
        <f>F60</f>
        <v>2017-18</v>
      </c>
      <c r="G84" s="268" t="str">
        <f>G60</f>
        <v>2018-19</v>
      </c>
      <c r="H84" s="268" t="str">
        <f>H60</f>
        <v>2019-20</v>
      </c>
      <c r="I84" s="268" t="str">
        <f>I60</f>
        <v>2020-21</v>
      </c>
      <c r="J84" s="15"/>
      <c r="K84" s="867" t="s">
        <v>387</v>
      </c>
      <c r="L84" s="575"/>
      <c r="AG84" s="339"/>
    </row>
    <row r="85" spans="2:33" ht="12.75" x14ac:dyDescent="0.2">
      <c r="B85" s="584" t="s">
        <v>385</v>
      </c>
      <c r="C85" s="659" t="str">
        <f>CONCATENATE(C11," years")</f>
        <v>1 years</v>
      </c>
      <c r="D85" s="586"/>
      <c r="E85" s="14"/>
      <c r="F85" s="587"/>
      <c r="G85" s="587"/>
      <c r="H85" s="587"/>
      <c r="I85" s="587"/>
      <c r="J85" s="587"/>
      <c r="K85" s="867"/>
      <c r="L85" s="588"/>
      <c r="AG85" s="339"/>
    </row>
    <row r="86" spans="2:33" ht="12.75" x14ac:dyDescent="0.2">
      <c r="B86" s="589"/>
      <c r="C86" s="590"/>
      <c r="D86" s="582"/>
      <c r="E86" s="14"/>
      <c r="F86" s="587"/>
      <c r="G86" s="587"/>
      <c r="H86" s="587"/>
      <c r="I86" s="587"/>
      <c r="J86" s="587"/>
      <c r="K86" s="867"/>
      <c r="L86" s="588"/>
      <c r="AG86" s="339"/>
    </row>
    <row r="87" spans="2:33" ht="13.5" customHeight="1" thickBot="1" x14ac:dyDescent="0.25">
      <c r="B87" s="860" t="s">
        <v>383</v>
      </c>
      <c r="C87" s="861"/>
      <c r="D87" s="497"/>
      <c r="E87" s="582"/>
      <c r="F87" s="539">
        <f>IFERROR(IF(C11&gt;0,(K62/C11),""),"")</f>
        <v>4.5000149266831713E-2</v>
      </c>
      <c r="G87" s="539" t="str">
        <f>IFERROR(IF($C$11&gt;1,$K$62/$C$11,""),"")</f>
        <v/>
      </c>
      <c r="H87" s="539" t="str">
        <f>IFERROR(IF($C$11&gt;2,$K$62/$C$11,""),"")</f>
        <v/>
      </c>
      <c r="I87" s="539" t="str">
        <f>IFERROR(IF($C$11&gt;3,$K$62/$C$11,""),"")</f>
        <v/>
      </c>
      <c r="J87" s="591"/>
      <c r="K87" s="525">
        <f>SUM(F87:I87)</f>
        <v>4.5000149266831713E-2</v>
      </c>
      <c r="L87" s="592"/>
      <c r="AG87" s="339"/>
    </row>
    <row r="88" spans="2:33" ht="13.5" customHeight="1" thickTop="1" x14ac:dyDescent="0.2">
      <c r="B88" s="856" t="s">
        <v>374</v>
      </c>
      <c r="C88" s="857"/>
      <c r="D88" s="498"/>
      <c r="E88" s="582"/>
      <c r="F88" s="467">
        <f>IFERROR(IF(C11&gt;0,F87,""),"")</f>
        <v>4.5000149266831713E-2</v>
      </c>
      <c r="G88" s="467" t="str">
        <f>IFERROR(IF($C$11&gt;1,F88+G87,""),"")</f>
        <v/>
      </c>
      <c r="H88" s="467" t="str">
        <f>IFERROR(IF($C$11&gt;2,G88+H87,""),"")</f>
        <v/>
      </c>
      <c r="I88" s="467" t="str">
        <f>IFERROR(IF($C$11&gt;3,H88+I87,""),"")</f>
        <v/>
      </c>
      <c r="J88" s="593"/>
      <c r="K88" s="864" t="s">
        <v>388</v>
      </c>
      <c r="L88" s="594"/>
      <c r="AG88" s="339"/>
    </row>
    <row r="89" spans="2:33" ht="12.75" x14ac:dyDescent="0.2">
      <c r="B89" s="856" t="s">
        <v>375</v>
      </c>
      <c r="C89" s="857"/>
      <c r="D89" s="498"/>
      <c r="E89" s="582"/>
      <c r="F89" s="577">
        <f>IFERROR(IF(C11&gt;0,((E67*(1+F87))-E67)*F45,""),"")</f>
        <v>270122.60634078342</v>
      </c>
      <c r="G89" s="577" t="str">
        <f>IFERROR(IF($C$11&gt;1,((F67*(1+G87))-F67)*G45,""),"")</f>
        <v/>
      </c>
      <c r="H89" s="577" t="str">
        <f>IFERROR(IF($C$11&gt;2,((G67*(1+H87))-G67)*H45,""),"")</f>
        <v/>
      </c>
      <c r="I89" s="577" t="str">
        <f>IFERROR(IF($C$11&gt;3,((H67*(1+I87))-H67)*I45,""),"")</f>
        <v/>
      </c>
      <c r="J89" s="595"/>
      <c r="K89" s="865"/>
      <c r="L89" s="596"/>
      <c r="AG89" s="339"/>
    </row>
    <row r="90" spans="2:33" ht="13.5" thickBot="1" x14ac:dyDescent="0.25">
      <c r="B90" s="856" t="s">
        <v>376</v>
      </c>
      <c r="C90" s="857"/>
      <c r="D90" s="498"/>
      <c r="E90" s="582"/>
      <c r="F90" s="577">
        <f>IFERROR(IF(C11&gt;0,(F89),""),"")</f>
        <v>270122.60634078342</v>
      </c>
      <c r="G90" s="577" t="str">
        <f>IFERROR(IF($C$11&gt;1,F90+G89,""),"")</f>
        <v/>
      </c>
      <c r="H90" s="577" t="str">
        <f>IFERROR(IF($C$11&gt;2,G90+H89,""),"")</f>
        <v/>
      </c>
      <c r="I90" s="577" t="str">
        <f>IFERROR(IF($C$11&gt;3,H90+I89,""),"")</f>
        <v/>
      </c>
      <c r="J90" s="597"/>
      <c r="K90" s="530">
        <f>SUM(F90:I90)</f>
        <v>270122.60634078342</v>
      </c>
      <c r="L90" s="598"/>
      <c r="AG90" s="339"/>
    </row>
    <row r="91" spans="2:33" ht="13.5" thickTop="1" x14ac:dyDescent="0.2">
      <c r="B91" s="599"/>
      <c r="C91" s="582"/>
      <c r="D91" s="498"/>
      <c r="E91" s="582"/>
      <c r="F91" s="582"/>
      <c r="G91" s="582"/>
      <c r="H91" s="582"/>
      <c r="I91" s="582"/>
      <c r="J91" s="582"/>
      <c r="K91" s="600"/>
      <c r="L91" s="583"/>
      <c r="AG91" s="339"/>
    </row>
    <row r="92" spans="2:33" ht="12.75" x14ac:dyDescent="0.2">
      <c r="B92" s="858" t="s">
        <v>371</v>
      </c>
      <c r="C92" s="859"/>
      <c r="D92" s="498"/>
      <c r="E92" s="609">
        <f>IFERROR(IF(C11&gt;0,(E20+E40)/E45,""),"")</f>
        <v>1954.005427778322</v>
      </c>
      <c r="F92" s="609">
        <f>IFERROR(IF(C11&gt;0,(F95+F40)/F45,""),"")</f>
        <v>2035.9537294279035</v>
      </c>
      <c r="G92" s="609" t="str">
        <f>IFERROR(IF($C$11&gt;1,(G95+G40)/G45,""),"")</f>
        <v/>
      </c>
      <c r="H92" s="609" t="str">
        <f>IFERROR(IF($C$11&gt;2,(H95+H40)/H45,""),"")</f>
        <v/>
      </c>
      <c r="I92" s="609" t="str">
        <f>IFERROR(IF($C$11&gt;3,(I95+I40)/I45,""),"")</f>
        <v/>
      </c>
      <c r="J92" s="533"/>
      <c r="K92" s="582"/>
      <c r="L92" s="601"/>
      <c r="AG92" s="339"/>
    </row>
    <row r="93" spans="2:33" ht="12.75" x14ac:dyDescent="0.2">
      <c r="B93" s="858" t="s">
        <v>372</v>
      </c>
      <c r="C93" s="859"/>
      <c r="D93" s="498"/>
      <c r="E93" s="582"/>
      <c r="F93" s="609">
        <f>IFERROR(IF(C11&gt;0,E92*(1+F87),""),"")</f>
        <v>2041.9359636965457</v>
      </c>
      <c r="G93" s="609" t="str">
        <f>IFERROR(IF($C$11&gt;1, F92*(1+G87),""),"")</f>
        <v/>
      </c>
      <c r="H93" s="609" t="str">
        <f>IFERROR(IF($C$11&gt;2, G92*(1+H87),""),"")</f>
        <v/>
      </c>
      <c r="I93" s="609" t="str">
        <f>IFERROR(IF($C$11&gt;3, H92*(1+I87),""),"")</f>
        <v/>
      </c>
      <c r="J93" s="533"/>
      <c r="K93" s="582"/>
      <c r="L93" s="601"/>
      <c r="AG93" s="339"/>
    </row>
    <row r="94" spans="2:33" ht="12.75" x14ac:dyDescent="0.2">
      <c r="B94" s="599"/>
      <c r="C94" s="582"/>
      <c r="D94" s="656"/>
      <c r="E94" s="582"/>
      <c r="F94" s="582"/>
      <c r="G94" s="582"/>
      <c r="H94" s="582"/>
      <c r="I94" s="582"/>
      <c r="J94" s="582"/>
      <c r="K94" s="582"/>
      <c r="L94" s="583"/>
      <c r="AG94" s="339"/>
    </row>
    <row r="95" spans="2:33" ht="12.75" x14ac:dyDescent="0.2">
      <c r="B95" s="856" t="s">
        <v>407</v>
      </c>
      <c r="C95" s="857"/>
      <c r="D95" s="582"/>
      <c r="E95" s="582"/>
      <c r="F95" s="518">
        <f>IFERROR(IF(C11&gt;0,F93*F44,""),"")</f>
        <v>6254449.8568025194</v>
      </c>
      <c r="G95" s="518" t="str">
        <f>IFERROR(IF($C$11&gt;1,G93*G44,""),"")</f>
        <v/>
      </c>
      <c r="H95" s="518" t="str">
        <f>IFERROR(IF($C$11&gt;2,H93*H44,""),"")</f>
        <v/>
      </c>
      <c r="I95" s="518" t="str">
        <f>IFERROR(IF($C$11&gt;3,I93*I44,""),"")</f>
        <v/>
      </c>
      <c r="J95" s="582"/>
      <c r="K95" s="582"/>
      <c r="L95" s="583"/>
      <c r="AG95" s="339"/>
    </row>
    <row r="96" spans="2:33" ht="12.75" x14ac:dyDescent="0.2">
      <c r="B96" s="856" t="s">
        <v>461</v>
      </c>
      <c r="C96" s="857"/>
      <c r="D96" s="582"/>
      <c r="E96" s="582"/>
      <c r="F96" s="671">
        <f>IFERROR(F95-'SRP and LTFP'!D13,"")</f>
        <v>27.856802519410849</v>
      </c>
      <c r="G96" s="671" t="str">
        <f>IFERROR(G95-'SRP and LTFP'!E13,"")</f>
        <v/>
      </c>
      <c r="H96" s="671" t="str">
        <f>IFERROR(H95-'SRP and LTFP'!F13,"")</f>
        <v/>
      </c>
      <c r="I96" s="671" t="str">
        <f>IFERROR(I95-'SRP and LTFP'!G13,"")</f>
        <v/>
      </c>
      <c r="J96" s="602"/>
      <c r="K96" s="582"/>
      <c r="L96" s="583"/>
      <c r="AG96" s="339"/>
    </row>
    <row r="97" spans="2:33" ht="11.25" x14ac:dyDescent="0.2">
      <c r="B97" s="603"/>
      <c r="C97" s="604"/>
      <c r="D97" s="604"/>
      <c r="E97" s="604"/>
      <c r="F97" s="604"/>
      <c r="G97" s="604"/>
      <c r="H97" s="604"/>
      <c r="I97" s="604"/>
      <c r="J97" s="604"/>
      <c r="K97" s="604"/>
      <c r="L97" s="605"/>
      <c r="AG97" s="339"/>
    </row>
    <row r="98" spans="2:33" ht="11.25" x14ac:dyDescent="0.2">
      <c r="B98" s="494"/>
      <c r="C98" s="494"/>
      <c r="D98" s="494"/>
      <c r="E98" s="494"/>
      <c r="F98" s="494"/>
      <c r="H98" s="494"/>
      <c r="I98" s="494"/>
      <c r="AG98" s="339"/>
    </row>
    <row r="99" spans="2:33" ht="11.25" x14ac:dyDescent="0.2">
      <c r="G99" s="492">
        <v>4</v>
      </c>
      <c r="H99" s="492"/>
      <c r="J99" s="494"/>
      <c r="K99" s="552"/>
      <c r="L99" s="494"/>
      <c r="AG99" s="339"/>
    </row>
    <row r="100" spans="2:33" ht="11.25" x14ac:dyDescent="0.2">
      <c r="B100" s="513"/>
      <c r="C100" s="513"/>
      <c r="D100" s="513"/>
      <c r="E100" s="513"/>
      <c r="F100" s="513"/>
      <c r="G100" s="513"/>
      <c r="H100" s="513"/>
      <c r="I100" s="513"/>
      <c r="AG100" s="339"/>
    </row>
    <row r="101" spans="2:33" ht="11.25" x14ac:dyDescent="0.2">
      <c r="B101" s="513"/>
      <c r="C101" s="513"/>
      <c r="D101" s="513"/>
      <c r="E101" s="513"/>
      <c r="F101" s="513"/>
      <c r="G101" s="513"/>
      <c r="H101" s="513"/>
      <c r="I101" s="513"/>
      <c r="J101" s="513"/>
      <c r="K101" s="513"/>
      <c r="L101" s="513"/>
      <c r="AG101" s="339"/>
    </row>
    <row r="102" spans="2:33" ht="11.25" x14ac:dyDescent="0.2">
      <c r="B102" s="513"/>
      <c r="C102" s="513"/>
      <c r="D102" s="513"/>
      <c r="E102" s="513"/>
      <c r="F102" s="513"/>
      <c r="G102" s="513"/>
      <c r="H102" s="513"/>
      <c r="I102" s="513"/>
      <c r="J102" s="513"/>
      <c r="K102" s="513"/>
      <c r="L102" s="513"/>
      <c r="AG102" s="339"/>
    </row>
    <row r="103" spans="2:33" ht="11.25" x14ac:dyDescent="0.2">
      <c r="B103" s="513"/>
      <c r="C103" s="513"/>
      <c r="D103" s="513"/>
      <c r="E103" s="513"/>
      <c r="F103" s="513"/>
      <c r="G103" s="513"/>
      <c r="H103" s="513"/>
      <c r="I103" s="513"/>
      <c r="J103" s="513"/>
      <c r="K103" s="513"/>
      <c r="L103" s="513"/>
      <c r="AG103" s="339"/>
    </row>
    <row r="104" spans="2:33" ht="11.25" x14ac:dyDescent="0.2">
      <c r="B104" s="513"/>
      <c r="C104" s="513"/>
      <c r="D104" s="513"/>
      <c r="E104" s="513"/>
      <c r="F104" s="513"/>
      <c r="G104" s="513"/>
      <c r="H104" s="513"/>
      <c r="I104" s="513"/>
      <c r="J104" s="513"/>
      <c r="K104" s="513"/>
      <c r="L104" s="513"/>
      <c r="AG104" s="339"/>
    </row>
    <row r="105" spans="2:33" ht="11.25" x14ac:dyDescent="0.2">
      <c r="B105" s="513"/>
      <c r="C105" s="513"/>
      <c r="D105" s="513"/>
      <c r="E105" s="513"/>
      <c r="F105" s="513"/>
      <c r="G105" s="515">
        <v>1</v>
      </c>
      <c r="H105" s="513"/>
      <c r="I105" s="513"/>
      <c r="J105" s="513"/>
      <c r="K105" s="513"/>
      <c r="L105" s="513"/>
      <c r="AG105" s="339"/>
    </row>
    <row r="106" spans="2:33" ht="11.25" x14ac:dyDescent="0.2">
      <c r="B106" s="513"/>
      <c r="C106" s="513"/>
      <c r="D106" s="513"/>
      <c r="E106" s="513"/>
      <c r="F106" s="513"/>
      <c r="G106" s="515">
        <v>2</v>
      </c>
      <c r="H106" s="513"/>
      <c r="I106" s="513"/>
      <c r="J106" s="513"/>
      <c r="K106" s="513"/>
      <c r="L106" s="513"/>
      <c r="AG106" s="339"/>
    </row>
    <row r="107" spans="2:33" ht="11.25" x14ac:dyDescent="0.2">
      <c r="B107" s="513"/>
      <c r="C107" s="513"/>
      <c r="D107" s="513"/>
      <c r="E107" s="513"/>
      <c r="F107" s="513"/>
      <c r="G107" s="515">
        <v>3</v>
      </c>
      <c r="H107" s="513"/>
      <c r="I107" s="513"/>
      <c r="J107" s="513"/>
      <c r="K107" s="513"/>
      <c r="L107" s="513"/>
      <c r="AG107" s="339"/>
    </row>
    <row r="108" spans="2:33" ht="11.25" x14ac:dyDescent="0.2">
      <c r="B108" s="513"/>
      <c r="C108" s="513"/>
      <c r="D108" s="513"/>
      <c r="F108" s="513"/>
      <c r="G108" s="515">
        <v>4</v>
      </c>
      <c r="H108" s="513"/>
      <c r="I108" s="513"/>
      <c r="J108" s="513"/>
      <c r="K108" s="513"/>
      <c r="L108" s="513"/>
      <c r="AG108" s="339"/>
    </row>
    <row r="109" spans="2:33" ht="11.25" x14ac:dyDescent="0.2">
      <c r="B109" s="513"/>
      <c r="C109" s="513"/>
      <c r="D109" s="513"/>
      <c r="E109" s="513"/>
      <c r="F109" s="513"/>
      <c r="G109" s="513"/>
      <c r="H109" s="513"/>
      <c r="I109" s="513"/>
      <c r="J109" s="513"/>
      <c r="K109" s="513"/>
      <c r="L109" s="513"/>
      <c r="AG109" s="339"/>
    </row>
    <row r="110" spans="2:33" ht="11.25" x14ac:dyDescent="0.2">
      <c r="B110" s="513"/>
      <c r="C110" s="513"/>
      <c r="D110" s="513"/>
      <c r="E110" s="513"/>
      <c r="F110" s="513"/>
      <c r="G110" s="513"/>
      <c r="H110" s="513"/>
      <c r="I110" s="513"/>
      <c r="J110" s="513"/>
      <c r="K110" s="513"/>
      <c r="L110" s="513"/>
      <c r="AG110" s="339"/>
    </row>
    <row r="111" spans="2:33" ht="11.25" x14ac:dyDescent="0.2">
      <c r="B111" s="513"/>
      <c r="C111" s="513"/>
      <c r="D111" s="513"/>
      <c r="E111" s="513"/>
      <c r="F111" s="513"/>
      <c r="G111" s="513"/>
      <c r="H111" s="513"/>
      <c r="I111" s="513"/>
      <c r="J111" s="513"/>
      <c r="K111" s="513"/>
      <c r="L111" s="513"/>
      <c r="AG111" s="339"/>
    </row>
    <row r="112" spans="2:33" ht="11.25" x14ac:dyDescent="0.2">
      <c r="B112" s="513"/>
      <c r="C112" s="513"/>
      <c r="D112" s="513"/>
      <c r="E112" s="513"/>
      <c r="F112" s="513"/>
      <c r="G112" s="513"/>
      <c r="H112" s="513"/>
      <c r="I112" s="513"/>
      <c r="J112" s="513"/>
      <c r="K112" s="513"/>
      <c r="L112" s="513"/>
      <c r="AG112" s="339"/>
    </row>
    <row r="113" spans="2:33" ht="11.25" x14ac:dyDescent="0.2">
      <c r="B113" s="513"/>
      <c r="C113" s="513"/>
      <c r="D113" s="513"/>
      <c r="E113" s="513"/>
      <c r="F113" s="513"/>
      <c r="G113" s="513"/>
      <c r="H113" s="513"/>
      <c r="I113" s="513"/>
      <c r="J113" s="513"/>
      <c r="K113" s="513"/>
      <c r="L113" s="513"/>
      <c r="AG113" s="339"/>
    </row>
    <row r="114" spans="2:33" ht="11.25" x14ac:dyDescent="0.2">
      <c r="B114" s="513"/>
      <c r="C114" s="513"/>
      <c r="D114" s="513"/>
      <c r="E114" s="513"/>
      <c r="F114" s="513"/>
      <c r="G114" s="513"/>
      <c r="H114" s="513"/>
      <c r="I114" s="513"/>
      <c r="J114" s="513"/>
      <c r="K114" s="513"/>
      <c r="L114" s="513"/>
      <c r="AG114" s="339"/>
    </row>
    <row r="115" spans="2:33" ht="11.25" x14ac:dyDescent="0.2">
      <c r="B115" s="513"/>
      <c r="C115" s="513"/>
      <c r="D115" s="513"/>
      <c r="E115" s="513"/>
      <c r="F115" s="513"/>
      <c r="G115" s="513"/>
      <c r="H115" s="513"/>
      <c r="I115" s="513"/>
      <c r="J115" s="513"/>
      <c r="K115" s="513"/>
      <c r="L115" s="513"/>
      <c r="AG115" s="339"/>
    </row>
    <row r="116" spans="2:33" ht="11.25" x14ac:dyDescent="0.2">
      <c r="B116" s="513"/>
      <c r="C116" s="513"/>
      <c r="D116" s="513"/>
      <c r="E116" s="513"/>
      <c r="F116" s="513"/>
      <c r="G116" s="513"/>
      <c r="H116" s="513"/>
      <c r="I116" s="513"/>
      <c r="J116" s="513"/>
      <c r="K116" s="513"/>
      <c r="L116" s="513"/>
      <c r="AG116" s="339"/>
    </row>
    <row r="117" spans="2:33" ht="11.25" x14ac:dyDescent="0.2">
      <c r="B117" s="513"/>
      <c r="C117" s="513"/>
      <c r="D117" s="513"/>
      <c r="E117" s="513"/>
      <c r="F117" s="513"/>
      <c r="G117" s="513"/>
      <c r="H117" s="513"/>
      <c r="I117" s="513"/>
      <c r="J117" s="513"/>
      <c r="K117" s="513"/>
      <c r="L117" s="513"/>
      <c r="AG117" s="339"/>
    </row>
    <row r="118" spans="2:33" ht="11.25" x14ac:dyDescent="0.2">
      <c r="B118" s="513"/>
      <c r="C118" s="513"/>
      <c r="D118" s="513"/>
      <c r="E118" s="513"/>
      <c r="F118" s="513"/>
      <c r="G118" s="513"/>
      <c r="H118" s="513"/>
      <c r="I118" s="513"/>
      <c r="J118" s="513"/>
      <c r="K118" s="513"/>
      <c r="L118" s="513"/>
      <c r="AG118" s="339"/>
    </row>
    <row r="119" spans="2:33" ht="11.25" x14ac:dyDescent="0.2">
      <c r="B119" s="513"/>
      <c r="C119" s="513"/>
      <c r="D119" s="513"/>
      <c r="E119" s="513"/>
      <c r="F119" s="513"/>
      <c r="G119" s="513"/>
      <c r="H119" s="513"/>
      <c r="I119" s="513"/>
      <c r="J119" s="513"/>
      <c r="K119" s="513"/>
      <c r="L119" s="513"/>
      <c r="AG119" s="339"/>
    </row>
    <row r="120" spans="2:33" ht="11.25" x14ac:dyDescent="0.2">
      <c r="B120" s="513"/>
      <c r="C120" s="513"/>
      <c r="D120" s="513"/>
      <c r="E120" s="513"/>
      <c r="F120" s="513"/>
      <c r="G120" s="513"/>
      <c r="H120" s="513"/>
      <c r="I120" s="513"/>
      <c r="J120" s="513"/>
      <c r="K120" s="513"/>
      <c r="L120" s="513"/>
      <c r="AG120" s="339"/>
    </row>
    <row r="121" spans="2:33" ht="11.25" x14ac:dyDescent="0.2">
      <c r="B121" s="513"/>
      <c r="C121" s="513"/>
      <c r="D121" s="513"/>
      <c r="E121" s="513"/>
      <c r="F121" s="513"/>
      <c r="G121" s="513"/>
      <c r="H121" s="513"/>
      <c r="I121" s="513"/>
      <c r="J121" s="513"/>
      <c r="K121" s="513"/>
      <c r="L121" s="513"/>
      <c r="AG121" s="339"/>
    </row>
    <row r="122" spans="2:33" ht="11.25" hidden="1" customHeight="1" x14ac:dyDescent="0.2">
      <c r="B122" s="513"/>
      <c r="C122" s="513"/>
      <c r="D122" s="513"/>
      <c r="E122" s="513"/>
      <c r="F122" s="513"/>
      <c r="G122" s="513"/>
      <c r="H122" s="513"/>
      <c r="I122" s="513"/>
      <c r="J122" s="513"/>
      <c r="K122" s="513"/>
      <c r="L122" s="513"/>
      <c r="AG122" s="339"/>
    </row>
    <row r="123" spans="2:33" ht="11.25" hidden="1" customHeight="1" x14ac:dyDescent="0.2">
      <c r="B123" s="513"/>
      <c r="C123" s="513"/>
      <c r="D123" s="513"/>
      <c r="E123" s="513"/>
      <c r="F123" s="513"/>
      <c r="G123" s="513"/>
      <c r="H123" s="513"/>
      <c r="I123" s="513"/>
      <c r="J123" s="513"/>
      <c r="K123" s="513"/>
      <c r="L123" s="513"/>
      <c r="AG123" s="339"/>
    </row>
    <row r="124" spans="2:33" ht="13.5" hidden="1" customHeight="1" x14ac:dyDescent="0.25">
      <c r="B124" s="516"/>
      <c r="C124" s="516"/>
      <c r="D124" s="516"/>
      <c r="E124" s="517"/>
      <c r="F124" s="517"/>
      <c r="G124" s="517"/>
      <c r="H124" s="517"/>
      <c r="I124" s="517"/>
      <c r="J124" s="513"/>
      <c r="K124" s="513"/>
      <c r="L124" s="513"/>
    </row>
    <row r="125" spans="2:33" ht="13.5" hidden="1" customHeight="1" x14ac:dyDescent="0.25">
      <c r="B125" s="516"/>
      <c r="C125" s="516"/>
      <c r="D125" s="516"/>
      <c r="E125" s="517"/>
      <c r="F125" s="517"/>
      <c r="G125" s="517"/>
      <c r="H125" s="517"/>
      <c r="I125" s="517"/>
      <c r="J125" s="517"/>
      <c r="K125" s="517"/>
      <c r="L125" s="517"/>
    </row>
    <row r="126" spans="2:33" ht="13.5" hidden="1" customHeight="1" x14ac:dyDescent="0.25">
      <c r="B126" s="516"/>
      <c r="C126" s="516"/>
      <c r="D126" s="516"/>
      <c r="E126" s="517"/>
      <c r="F126" s="517"/>
      <c r="G126" s="517"/>
      <c r="H126" s="517"/>
      <c r="I126" s="517"/>
      <c r="J126" s="517"/>
      <c r="K126" s="517"/>
      <c r="L126" s="517"/>
    </row>
    <row r="127" spans="2:33" ht="13.5" hidden="1" customHeight="1" x14ac:dyDescent="0.25">
      <c r="B127" s="516"/>
      <c r="C127" s="516"/>
      <c r="D127" s="516"/>
      <c r="E127" s="517"/>
      <c r="F127" s="517"/>
      <c r="G127" s="517"/>
      <c r="H127" s="517"/>
      <c r="I127" s="517"/>
      <c r="J127" s="517"/>
      <c r="K127" s="517"/>
      <c r="L127" s="517"/>
    </row>
    <row r="128" spans="2:33" ht="13.5" hidden="1" customHeight="1" x14ac:dyDescent="0.25">
      <c r="B128" s="516"/>
      <c r="C128" s="516"/>
      <c r="D128" s="516"/>
      <c r="E128" s="517"/>
      <c r="F128" s="517"/>
      <c r="G128" s="517"/>
      <c r="H128" s="517"/>
      <c r="I128" s="517"/>
      <c r="J128" s="517"/>
      <c r="K128" s="517"/>
      <c r="L128" s="517"/>
    </row>
    <row r="129" spans="2:12" ht="13.5" hidden="1" customHeight="1" x14ac:dyDescent="0.25">
      <c r="B129" s="516"/>
      <c r="C129" s="516"/>
      <c r="D129" s="516"/>
      <c r="E129" s="517"/>
      <c r="F129" s="517"/>
      <c r="G129" s="517"/>
      <c r="H129" s="517"/>
      <c r="I129" s="517"/>
      <c r="J129" s="517"/>
      <c r="K129" s="517"/>
      <c r="L129" s="517"/>
    </row>
    <row r="130" spans="2:12" ht="13.5" hidden="1" customHeight="1" x14ac:dyDescent="0.25">
      <c r="B130" s="516"/>
      <c r="C130" s="516"/>
      <c r="D130" s="516"/>
      <c r="E130" s="517"/>
      <c r="F130" s="517"/>
      <c r="G130" s="517"/>
      <c r="H130" s="517"/>
      <c r="I130" s="517"/>
      <c r="J130" s="517"/>
      <c r="K130" s="517"/>
      <c r="L130" s="517"/>
    </row>
    <row r="131" spans="2:12" ht="13.5" hidden="1" customHeight="1" x14ac:dyDescent="0.25">
      <c r="B131" s="516"/>
      <c r="C131" s="516"/>
      <c r="D131" s="516"/>
      <c r="E131" s="517"/>
      <c r="F131" s="517"/>
      <c r="G131" s="517"/>
      <c r="H131" s="517"/>
      <c r="I131" s="517"/>
      <c r="J131" s="517"/>
      <c r="K131" s="517"/>
      <c r="L131" s="517"/>
    </row>
    <row r="132" spans="2:12" ht="13.5" hidden="1" customHeight="1" x14ac:dyDescent="0.25">
      <c r="B132" s="516"/>
      <c r="C132" s="516"/>
      <c r="D132" s="516"/>
      <c r="E132" s="517"/>
      <c r="F132" s="517"/>
      <c r="G132" s="517"/>
      <c r="H132" s="517"/>
      <c r="I132" s="517"/>
      <c r="J132" s="517"/>
      <c r="K132" s="517"/>
      <c r="L132" s="517"/>
    </row>
    <row r="133" spans="2:12" ht="13.5" hidden="1" customHeight="1" x14ac:dyDescent="0.25">
      <c r="B133" s="516"/>
      <c r="C133" s="516"/>
      <c r="D133" s="516"/>
      <c r="E133" s="517"/>
      <c r="F133" s="517"/>
      <c r="G133" s="517"/>
      <c r="H133" s="517"/>
      <c r="I133" s="517"/>
      <c r="J133" s="517"/>
      <c r="K133" s="517"/>
      <c r="L133" s="517"/>
    </row>
    <row r="134" spans="2:12" ht="13.5" hidden="1" customHeight="1" x14ac:dyDescent="0.25">
      <c r="B134" s="516"/>
      <c r="C134" s="516"/>
      <c r="D134" s="516"/>
      <c r="E134" s="517"/>
      <c r="F134" s="517"/>
      <c r="G134" s="517"/>
      <c r="H134" s="517"/>
      <c r="I134" s="517"/>
      <c r="J134" s="517"/>
      <c r="K134" s="517"/>
      <c r="L134" s="517"/>
    </row>
    <row r="135" spans="2:12" ht="13.5" hidden="1" customHeight="1" x14ac:dyDescent="0.25">
      <c r="B135" s="516"/>
      <c r="C135" s="516"/>
      <c r="D135" s="516"/>
      <c r="E135" s="517"/>
      <c r="F135" s="517"/>
      <c r="G135" s="517"/>
      <c r="H135" s="517"/>
      <c r="I135" s="517"/>
      <c r="J135" s="517"/>
      <c r="K135" s="517"/>
      <c r="L135" s="517"/>
    </row>
    <row r="136" spans="2:12" ht="13.5" hidden="1" customHeight="1" x14ac:dyDescent="0.25">
      <c r="B136" s="516"/>
      <c r="C136" s="516"/>
      <c r="D136" s="516"/>
      <c r="E136" s="517"/>
      <c r="F136" s="517"/>
      <c r="G136" s="517"/>
      <c r="H136" s="517"/>
      <c r="I136" s="517"/>
      <c r="J136" s="517"/>
      <c r="K136" s="517"/>
      <c r="L136" s="517"/>
    </row>
    <row r="137" spans="2:12" ht="13.5" hidden="1" customHeight="1" x14ac:dyDescent="0.25">
      <c r="B137" s="516"/>
      <c r="C137" s="516"/>
      <c r="D137" s="516"/>
      <c r="E137" s="517"/>
      <c r="F137" s="517"/>
      <c r="G137" s="517"/>
      <c r="H137" s="517"/>
      <c r="I137" s="517"/>
      <c r="J137" s="517"/>
      <c r="K137" s="517"/>
      <c r="L137" s="517"/>
    </row>
    <row r="138" spans="2:12" ht="13.5" hidden="1" customHeight="1" x14ac:dyDescent="0.25">
      <c r="B138" s="516"/>
      <c r="C138" s="516"/>
      <c r="D138" s="516"/>
      <c r="E138" s="517"/>
      <c r="F138" s="517"/>
      <c r="G138" s="517"/>
      <c r="H138" s="517"/>
      <c r="I138" s="517"/>
      <c r="J138" s="517"/>
      <c r="K138" s="517"/>
      <c r="L138" s="517"/>
    </row>
    <row r="139" spans="2:12" ht="13.5" hidden="1" customHeight="1" x14ac:dyDescent="0.25">
      <c r="B139" s="516"/>
      <c r="C139" s="516"/>
      <c r="D139" s="516"/>
      <c r="E139" s="517"/>
      <c r="F139" s="517"/>
      <c r="G139" s="517"/>
      <c r="H139" s="517"/>
      <c r="I139" s="517"/>
      <c r="J139" s="517"/>
      <c r="K139" s="517"/>
      <c r="L139" s="517"/>
    </row>
    <row r="140" spans="2:12" ht="13.5" hidden="1" customHeight="1" x14ac:dyDescent="0.25">
      <c r="B140" s="516"/>
      <c r="C140" s="516"/>
      <c r="D140" s="516"/>
      <c r="E140" s="517"/>
      <c r="F140" s="517"/>
      <c r="G140" s="517"/>
      <c r="H140" s="517"/>
      <c r="I140" s="517"/>
      <c r="J140" s="517"/>
      <c r="K140" s="517"/>
      <c r="L140" s="517"/>
    </row>
    <row r="141" spans="2:12" ht="13.5" hidden="1" customHeight="1" x14ac:dyDescent="0.25">
      <c r="B141" s="516"/>
      <c r="C141" s="516"/>
      <c r="D141" s="516"/>
      <c r="E141" s="517"/>
      <c r="F141" s="517"/>
      <c r="G141" s="517"/>
      <c r="H141" s="517"/>
      <c r="I141" s="517"/>
      <c r="J141" s="517"/>
      <c r="K141" s="517"/>
      <c r="L141" s="517"/>
    </row>
    <row r="142" spans="2:12" s="340" customFormat="1" ht="13.5" hidden="1" customHeight="1" x14ac:dyDescent="0.25">
      <c r="B142" s="516"/>
      <c r="C142" s="516"/>
      <c r="D142" s="516"/>
      <c r="E142" s="517"/>
      <c r="F142" s="517"/>
      <c r="G142" s="517"/>
      <c r="H142" s="517"/>
      <c r="I142" s="517"/>
      <c r="J142" s="517"/>
      <c r="K142" s="517"/>
      <c r="L142" s="517"/>
    </row>
    <row r="143" spans="2:12" s="340" customFormat="1" ht="13.5" hidden="1" customHeight="1" x14ac:dyDescent="0.25">
      <c r="B143" s="516"/>
      <c r="C143" s="516"/>
      <c r="D143" s="516"/>
      <c r="E143" s="517"/>
      <c r="F143" s="517"/>
      <c r="G143" s="517"/>
      <c r="H143" s="517"/>
      <c r="I143" s="517"/>
      <c r="J143" s="517"/>
      <c r="K143" s="517"/>
      <c r="L143" s="517"/>
    </row>
    <row r="144" spans="2:12" s="340" customFormat="1" ht="13.5" hidden="1" customHeight="1" x14ac:dyDescent="0.2">
      <c r="B144" s="513"/>
      <c r="C144" s="513"/>
      <c r="D144" s="513"/>
      <c r="E144" s="513"/>
      <c r="F144" s="513"/>
      <c r="G144" s="513"/>
      <c r="H144" s="513"/>
      <c r="I144" s="513"/>
      <c r="J144" s="517"/>
      <c r="K144" s="517"/>
      <c r="L144" s="517"/>
    </row>
    <row r="145" spans="2:12" s="340" customFormat="1" ht="13.5" hidden="1" customHeight="1" x14ac:dyDescent="0.2">
      <c r="B145" s="513"/>
      <c r="C145" s="513"/>
      <c r="D145" s="513"/>
      <c r="E145" s="513"/>
      <c r="F145" s="513"/>
      <c r="G145" s="513"/>
      <c r="H145" s="513"/>
      <c r="I145" s="513"/>
      <c r="J145" s="513"/>
      <c r="K145" s="513"/>
      <c r="L145" s="513"/>
    </row>
    <row r="146" spans="2:12" s="340" customFormat="1" ht="13.5" hidden="1" customHeight="1" x14ac:dyDescent="0.2">
      <c r="B146" s="513"/>
      <c r="C146" s="513"/>
      <c r="D146" s="513"/>
      <c r="E146" s="513"/>
      <c r="F146" s="513"/>
      <c r="G146" s="513"/>
      <c r="H146" s="513"/>
      <c r="I146" s="513"/>
      <c r="J146" s="513"/>
      <c r="K146" s="513"/>
      <c r="L146" s="513"/>
    </row>
    <row r="147" spans="2:12" s="340" customFormat="1" ht="13.5" hidden="1" customHeight="1" x14ac:dyDescent="0.2">
      <c r="B147" s="513"/>
      <c r="C147" s="513"/>
      <c r="D147" s="513"/>
      <c r="E147" s="513"/>
      <c r="F147" s="513"/>
      <c r="G147" s="513"/>
      <c r="H147" s="513"/>
      <c r="I147" s="513"/>
      <c r="J147" s="513"/>
      <c r="K147" s="513"/>
      <c r="L147" s="513"/>
    </row>
    <row r="148" spans="2:12" s="340" customFormat="1" ht="13.5" hidden="1" customHeight="1" x14ac:dyDescent="0.2">
      <c r="B148" s="513"/>
      <c r="C148" s="513"/>
      <c r="D148" s="513"/>
      <c r="E148" s="513"/>
      <c r="F148" s="513"/>
      <c r="G148" s="513"/>
      <c r="H148" s="513"/>
      <c r="I148" s="513"/>
      <c r="J148" s="513"/>
      <c r="K148" s="513"/>
      <c r="L148" s="513"/>
    </row>
    <row r="149" spans="2:12" s="340" customFormat="1" ht="13.5" hidden="1" customHeight="1" x14ac:dyDescent="0.2">
      <c r="B149" s="513"/>
      <c r="C149" s="513"/>
      <c r="D149" s="513"/>
      <c r="E149" s="513"/>
      <c r="F149" s="513"/>
      <c r="G149" s="513"/>
      <c r="H149" s="513"/>
      <c r="I149" s="513"/>
      <c r="J149" s="513"/>
      <c r="K149" s="513"/>
      <c r="L149" s="513"/>
    </row>
    <row r="150" spans="2:12" s="340" customFormat="1" ht="13.5" hidden="1" customHeight="1" x14ac:dyDescent="0.2">
      <c r="B150" s="513"/>
      <c r="C150" s="513"/>
      <c r="D150" s="513"/>
      <c r="E150" s="513"/>
      <c r="F150" s="513"/>
      <c r="G150" s="513"/>
      <c r="H150" s="513"/>
      <c r="I150" s="513"/>
      <c r="J150" s="513"/>
      <c r="K150" s="513"/>
      <c r="L150" s="513"/>
    </row>
    <row r="151" spans="2:12" s="340" customFormat="1" ht="13.5" hidden="1" customHeight="1" x14ac:dyDescent="0.2">
      <c r="B151" s="513"/>
      <c r="C151" s="513"/>
      <c r="D151" s="513"/>
      <c r="E151" s="513"/>
      <c r="F151" s="513"/>
      <c r="G151" s="513"/>
      <c r="H151" s="513"/>
      <c r="I151" s="513"/>
      <c r="J151" s="513"/>
      <c r="K151" s="513"/>
      <c r="L151" s="513"/>
    </row>
    <row r="152" spans="2:12" s="340" customFormat="1" ht="13.5" hidden="1" customHeight="1" x14ac:dyDescent="0.2">
      <c r="B152" s="513"/>
      <c r="C152" s="513"/>
      <c r="D152" s="513"/>
      <c r="E152" s="513"/>
      <c r="F152" s="513"/>
      <c r="G152" s="513"/>
      <c r="H152" s="513"/>
      <c r="I152" s="513"/>
      <c r="J152" s="513"/>
      <c r="K152" s="513"/>
      <c r="L152" s="513"/>
    </row>
    <row r="153" spans="2:12" s="340" customFormat="1" ht="13.5" hidden="1" customHeight="1" x14ac:dyDescent="0.2">
      <c r="B153" s="513"/>
      <c r="C153" s="513"/>
      <c r="D153" s="513"/>
      <c r="E153" s="513"/>
      <c r="F153" s="513"/>
      <c r="G153" s="513"/>
      <c r="H153" s="513"/>
      <c r="I153" s="513"/>
      <c r="J153" s="513"/>
      <c r="K153" s="513"/>
      <c r="L153" s="513"/>
    </row>
    <row r="154" spans="2:12" s="340" customFormat="1" ht="13.5" hidden="1" customHeight="1" x14ac:dyDescent="0.2">
      <c r="B154" s="513"/>
      <c r="C154" s="513"/>
      <c r="D154" s="513"/>
      <c r="E154" s="513"/>
      <c r="F154" s="513"/>
      <c r="G154" s="513"/>
      <c r="H154" s="513"/>
      <c r="I154" s="513"/>
      <c r="J154" s="513"/>
      <c r="K154" s="513"/>
      <c r="L154" s="513"/>
    </row>
    <row r="155" spans="2:12" s="340" customFormat="1" ht="13.5" hidden="1" customHeight="1" x14ac:dyDescent="0.2">
      <c r="B155" s="513"/>
      <c r="C155" s="513"/>
      <c r="D155" s="513"/>
      <c r="E155" s="513"/>
      <c r="F155" s="513"/>
      <c r="G155" s="513"/>
      <c r="H155" s="513"/>
      <c r="I155" s="513"/>
      <c r="J155" s="513"/>
      <c r="K155" s="513"/>
      <c r="L155" s="513"/>
    </row>
    <row r="156" spans="2:12" s="340" customFormat="1" ht="13.5" hidden="1" customHeight="1" x14ac:dyDescent="0.2">
      <c r="B156" s="513"/>
      <c r="C156" s="513"/>
      <c r="D156" s="513"/>
      <c r="E156" s="513"/>
      <c r="F156" s="513"/>
      <c r="G156" s="513"/>
      <c r="H156" s="513"/>
      <c r="I156" s="513"/>
      <c r="J156" s="513"/>
      <c r="K156" s="513"/>
      <c r="L156" s="513"/>
    </row>
    <row r="157" spans="2:12" s="340" customFormat="1" ht="13.5" hidden="1" customHeight="1" x14ac:dyDescent="0.2">
      <c r="B157" s="513"/>
      <c r="C157" s="513"/>
      <c r="D157" s="513"/>
      <c r="E157" s="513"/>
      <c r="F157" s="513"/>
      <c r="G157" s="513"/>
      <c r="H157" s="513"/>
      <c r="I157" s="513"/>
      <c r="J157" s="513"/>
      <c r="K157" s="513"/>
      <c r="L157" s="513"/>
    </row>
    <row r="158" spans="2:12" s="340" customFormat="1" ht="13.5" hidden="1" customHeight="1" x14ac:dyDescent="0.2">
      <c r="B158" s="513"/>
      <c r="C158" s="513"/>
      <c r="D158" s="513"/>
      <c r="E158" s="513"/>
      <c r="F158" s="513"/>
      <c r="G158" s="513"/>
      <c r="H158" s="513"/>
      <c r="I158" s="513"/>
      <c r="J158" s="513"/>
      <c r="K158" s="513"/>
      <c r="L158" s="513"/>
    </row>
    <row r="159" spans="2:12" s="340" customFormat="1" ht="13.5" hidden="1" customHeight="1" x14ac:dyDescent="0.2">
      <c r="B159" s="513"/>
      <c r="C159" s="513"/>
      <c r="D159" s="513"/>
      <c r="E159" s="513"/>
      <c r="F159" s="513"/>
      <c r="G159" s="513"/>
      <c r="H159" s="513"/>
      <c r="I159" s="513"/>
      <c r="J159" s="513"/>
      <c r="K159" s="513"/>
      <c r="L159" s="513"/>
    </row>
    <row r="160" spans="2:12" s="340" customFormat="1" ht="13.5" hidden="1" customHeight="1" x14ac:dyDescent="0.2">
      <c r="B160" s="513"/>
      <c r="C160" s="513"/>
      <c r="D160" s="513"/>
      <c r="E160" s="513"/>
      <c r="F160" s="513"/>
      <c r="G160" s="513"/>
      <c r="H160" s="513"/>
      <c r="I160" s="513"/>
      <c r="J160" s="513"/>
      <c r="K160" s="513"/>
      <c r="L160" s="513"/>
    </row>
    <row r="161" spans="2:12" s="340" customFormat="1" ht="13.5" hidden="1" customHeight="1" x14ac:dyDescent="0.2">
      <c r="B161" s="513"/>
      <c r="C161" s="513"/>
      <c r="D161" s="513"/>
      <c r="E161" s="513"/>
      <c r="F161" s="513"/>
      <c r="G161" s="513"/>
      <c r="H161" s="513"/>
      <c r="I161" s="513"/>
      <c r="J161" s="513"/>
      <c r="K161" s="513"/>
      <c r="L161" s="513"/>
    </row>
    <row r="162" spans="2:12" s="340" customFormat="1" ht="13.5" hidden="1" customHeight="1" x14ac:dyDescent="0.2">
      <c r="B162" s="513"/>
      <c r="C162" s="513"/>
      <c r="D162" s="513"/>
      <c r="E162" s="513"/>
      <c r="F162" s="513"/>
      <c r="G162" s="513"/>
      <c r="H162" s="513"/>
      <c r="I162" s="513"/>
      <c r="J162" s="513"/>
      <c r="K162" s="513"/>
      <c r="L162" s="513"/>
    </row>
    <row r="163" spans="2:12" s="340" customFormat="1" ht="13.5" hidden="1" customHeight="1" x14ac:dyDescent="0.2">
      <c r="B163" s="513"/>
      <c r="C163" s="513"/>
      <c r="D163" s="513"/>
      <c r="E163" s="513"/>
      <c r="F163" s="513"/>
      <c r="G163" s="513"/>
      <c r="H163" s="513"/>
      <c r="I163" s="513"/>
      <c r="J163" s="513"/>
      <c r="K163" s="513"/>
      <c r="L163" s="513"/>
    </row>
    <row r="164" spans="2:12" s="340" customFormat="1" ht="13.5" hidden="1" customHeight="1" x14ac:dyDescent="0.2">
      <c r="B164" s="513"/>
      <c r="C164" s="513"/>
      <c r="D164" s="513"/>
      <c r="E164" s="513"/>
      <c r="F164" s="513"/>
      <c r="G164" s="513"/>
      <c r="H164" s="513"/>
      <c r="I164" s="513"/>
      <c r="J164" s="513"/>
      <c r="K164" s="513"/>
      <c r="L164" s="513"/>
    </row>
    <row r="165" spans="2:12" s="340" customFormat="1" ht="13.5" hidden="1" customHeight="1" x14ac:dyDescent="0.2">
      <c r="B165" s="513"/>
      <c r="C165" s="513"/>
      <c r="D165" s="513"/>
      <c r="E165" s="513"/>
      <c r="F165" s="513"/>
      <c r="G165" s="513"/>
      <c r="H165" s="513"/>
      <c r="I165" s="513"/>
      <c r="J165" s="513"/>
      <c r="K165" s="513"/>
      <c r="L165" s="513"/>
    </row>
    <row r="166" spans="2:12" s="340" customFormat="1" ht="13.5" hidden="1" customHeight="1" x14ac:dyDescent="0.2">
      <c r="B166" s="513"/>
      <c r="C166" s="513"/>
      <c r="D166" s="513"/>
      <c r="E166" s="513"/>
      <c r="F166" s="513"/>
      <c r="G166" s="513"/>
      <c r="H166" s="513"/>
      <c r="I166" s="513"/>
      <c r="J166" s="513"/>
      <c r="K166" s="513"/>
      <c r="L166" s="513"/>
    </row>
    <row r="167" spans="2:12" s="340" customFormat="1" ht="13.5" hidden="1" customHeight="1" x14ac:dyDescent="0.2">
      <c r="B167" s="513"/>
      <c r="C167" s="513"/>
      <c r="D167" s="513"/>
      <c r="E167" s="513"/>
      <c r="F167" s="513"/>
      <c r="G167" s="513"/>
      <c r="H167" s="513"/>
      <c r="I167" s="513"/>
      <c r="J167" s="513"/>
      <c r="K167" s="513"/>
      <c r="L167" s="513"/>
    </row>
    <row r="168" spans="2:12" s="340" customFormat="1" ht="13.5" hidden="1" customHeight="1" x14ac:dyDescent="0.2">
      <c r="B168" s="513"/>
      <c r="C168" s="513"/>
      <c r="D168" s="513"/>
      <c r="E168" s="513"/>
      <c r="F168" s="513"/>
      <c r="G168" s="513"/>
      <c r="H168" s="513"/>
      <c r="I168" s="513"/>
      <c r="J168" s="513"/>
      <c r="K168" s="513"/>
      <c r="L168" s="513"/>
    </row>
    <row r="169" spans="2:12" s="340" customFormat="1" ht="13.5" hidden="1" customHeight="1" x14ac:dyDescent="0.2">
      <c r="B169" s="513"/>
      <c r="C169" s="513"/>
      <c r="D169" s="513"/>
      <c r="E169" s="513"/>
      <c r="F169" s="513"/>
      <c r="G169" s="513"/>
      <c r="H169" s="513"/>
      <c r="I169" s="513"/>
      <c r="J169" s="513"/>
      <c r="K169" s="513"/>
      <c r="L169" s="513"/>
    </row>
    <row r="170" spans="2:12" s="340" customFormat="1" ht="13.5" hidden="1" customHeight="1" x14ac:dyDescent="0.2">
      <c r="B170" s="513"/>
      <c r="C170" s="513"/>
      <c r="D170" s="513"/>
      <c r="E170" s="513"/>
      <c r="F170" s="513"/>
      <c r="G170" s="513"/>
      <c r="H170" s="513"/>
      <c r="I170" s="513"/>
      <c r="J170" s="513"/>
      <c r="K170" s="513"/>
      <c r="L170" s="513"/>
    </row>
    <row r="171" spans="2:12" s="340" customFormat="1" ht="13.5" hidden="1" customHeight="1" x14ac:dyDescent="0.2">
      <c r="B171" s="513"/>
      <c r="C171" s="513"/>
      <c r="D171" s="513"/>
      <c r="E171" s="513"/>
      <c r="F171" s="513"/>
      <c r="G171" s="513"/>
      <c r="H171" s="513"/>
      <c r="I171" s="513"/>
      <c r="J171" s="513"/>
      <c r="K171" s="513"/>
      <c r="L171" s="513"/>
    </row>
    <row r="172" spans="2:12" s="340" customFormat="1" ht="13.5" hidden="1" customHeight="1" x14ac:dyDescent="0.2">
      <c r="B172" s="513"/>
      <c r="C172" s="513"/>
      <c r="D172" s="513"/>
      <c r="E172" s="513"/>
      <c r="F172" s="513"/>
      <c r="G172" s="513"/>
      <c r="H172" s="513"/>
      <c r="I172" s="513"/>
      <c r="J172" s="513"/>
      <c r="K172" s="513"/>
      <c r="L172" s="513"/>
    </row>
    <row r="173" spans="2:12" s="340" customFormat="1" ht="13.5" hidden="1" customHeight="1" x14ac:dyDescent="0.2">
      <c r="B173" s="513"/>
      <c r="C173" s="513"/>
      <c r="D173" s="513"/>
      <c r="E173" s="513"/>
      <c r="F173" s="513"/>
      <c r="G173" s="513"/>
      <c r="H173" s="513"/>
      <c r="I173" s="513"/>
      <c r="J173" s="513"/>
      <c r="K173" s="513"/>
      <c r="L173" s="513"/>
    </row>
    <row r="174" spans="2:12" s="340" customFormat="1" ht="13.5" hidden="1" customHeight="1" x14ac:dyDescent="0.2">
      <c r="B174" s="513"/>
      <c r="C174" s="513"/>
      <c r="D174" s="513"/>
      <c r="E174" s="513"/>
      <c r="F174" s="513"/>
      <c r="G174" s="513"/>
      <c r="H174" s="513"/>
      <c r="I174" s="513"/>
      <c r="J174" s="513"/>
      <c r="K174" s="513"/>
      <c r="L174" s="513"/>
    </row>
    <row r="175" spans="2:12" s="340" customFormat="1" ht="13.5" hidden="1" customHeight="1" x14ac:dyDescent="0.2">
      <c r="B175" s="513"/>
      <c r="C175" s="513"/>
      <c r="D175" s="513"/>
      <c r="E175" s="513"/>
      <c r="F175" s="513"/>
      <c r="G175" s="513"/>
      <c r="H175" s="513"/>
      <c r="I175" s="513"/>
      <c r="J175" s="513"/>
      <c r="K175" s="513"/>
      <c r="L175" s="513"/>
    </row>
    <row r="176" spans="2:12" s="340" customFormat="1" ht="13.5" hidden="1" customHeight="1" x14ac:dyDescent="0.2">
      <c r="B176" s="513"/>
      <c r="C176" s="513"/>
      <c r="D176" s="513"/>
      <c r="E176" s="513"/>
      <c r="F176" s="513"/>
      <c r="G176" s="513"/>
      <c r="H176" s="513"/>
      <c r="I176" s="513"/>
      <c r="J176" s="513"/>
      <c r="K176" s="513"/>
      <c r="L176" s="513"/>
    </row>
    <row r="177" spans="2:12" s="340" customFormat="1" ht="13.5" hidden="1" customHeight="1" x14ac:dyDescent="0.2">
      <c r="B177" s="513"/>
      <c r="C177" s="513"/>
      <c r="D177" s="513"/>
      <c r="E177" s="513"/>
      <c r="F177" s="513"/>
      <c r="G177" s="513"/>
      <c r="H177" s="513"/>
      <c r="I177" s="513"/>
      <c r="J177" s="513"/>
      <c r="K177" s="513"/>
      <c r="L177" s="513"/>
    </row>
    <row r="178" spans="2:12" s="340" customFormat="1" ht="13.5" hidden="1" customHeight="1" x14ac:dyDescent="0.2">
      <c r="B178" s="513"/>
      <c r="C178" s="513"/>
      <c r="D178" s="513"/>
      <c r="E178" s="513"/>
      <c r="F178" s="513"/>
      <c r="G178" s="513"/>
      <c r="H178" s="513"/>
      <c r="I178" s="513"/>
      <c r="J178" s="513"/>
      <c r="K178" s="513"/>
      <c r="L178" s="513"/>
    </row>
    <row r="179" spans="2:12" s="340" customFormat="1" ht="13.5" hidden="1" customHeight="1" x14ac:dyDescent="0.2">
      <c r="B179" s="513"/>
      <c r="C179" s="513"/>
      <c r="D179" s="513"/>
      <c r="E179" s="513"/>
      <c r="F179" s="513"/>
      <c r="G179" s="513"/>
      <c r="H179" s="513"/>
      <c r="I179" s="513"/>
      <c r="J179" s="513"/>
      <c r="K179" s="513"/>
      <c r="L179" s="513"/>
    </row>
    <row r="180" spans="2:12" s="340" customFormat="1" ht="13.5" hidden="1" customHeight="1" x14ac:dyDescent="0.2">
      <c r="B180" s="513"/>
      <c r="C180" s="513"/>
      <c r="D180" s="513"/>
      <c r="E180" s="513"/>
      <c r="F180" s="513"/>
      <c r="G180" s="513"/>
      <c r="H180" s="513"/>
      <c r="I180" s="513"/>
      <c r="J180" s="513"/>
      <c r="K180" s="513"/>
      <c r="L180" s="513"/>
    </row>
    <row r="181" spans="2:12" s="340" customFormat="1" ht="13.5" hidden="1" customHeight="1" x14ac:dyDescent="0.2">
      <c r="B181" s="513"/>
      <c r="C181" s="513"/>
      <c r="D181" s="513"/>
      <c r="E181" s="513"/>
      <c r="F181" s="513"/>
      <c r="G181" s="513"/>
      <c r="H181" s="513"/>
      <c r="I181" s="513"/>
      <c r="J181" s="513"/>
      <c r="K181" s="513"/>
      <c r="L181" s="513"/>
    </row>
    <row r="182" spans="2:12" s="340" customFormat="1" ht="13.5" hidden="1" customHeight="1" x14ac:dyDescent="0.2">
      <c r="B182" s="513"/>
      <c r="C182" s="513"/>
      <c r="D182" s="513"/>
      <c r="E182" s="513"/>
      <c r="F182" s="513"/>
      <c r="G182" s="513"/>
      <c r="H182" s="513"/>
      <c r="I182" s="513"/>
      <c r="J182" s="513"/>
      <c r="K182" s="513"/>
      <c r="L182" s="513"/>
    </row>
    <row r="183" spans="2:12" s="340" customFormat="1" ht="13.5" hidden="1" customHeight="1" x14ac:dyDescent="0.2">
      <c r="B183" s="513"/>
      <c r="C183" s="513"/>
      <c r="D183" s="513"/>
      <c r="E183" s="513"/>
      <c r="F183" s="513"/>
      <c r="G183" s="513"/>
      <c r="H183" s="513"/>
      <c r="I183" s="513"/>
      <c r="J183" s="513"/>
      <c r="K183" s="513"/>
      <c r="L183" s="513"/>
    </row>
    <row r="184" spans="2:12" s="340" customFormat="1" ht="13.5" hidden="1" customHeight="1" x14ac:dyDescent="0.2">
      <c r="B184" s="513"/>
      <c r="C184" s="513"/>
      <c r="D184" s="513"/>
      <c r="E184" s="513"/>
      <c r="F184" s="513"/>
      <c r="G184" s="513"/>
      <c r="H184" s="513"/>
      <c r="I184" s="513"/>
      <c r="J184" s="513"/>
      <c r="K184" s="513"/>
      <c r="L184" s="513"/>
    </row>
    <row r="185" spans="2:12" s="340" customFormat="1" ht="13.5" hidden="1" customHeight="1" x14ac:dyDescent="0.2">
      <c r="B185" s="513"/>
      <c r="C185" s="513"/>
      <c r="D185" s="513"/>
      <c r="E185" s="513"/>
      <c r="F185" s="513"/>
      <c r="G185" s="513"/>
      <c r="H185" s="513"/>
      <c r="I185" s="513"/>
      <c r="J185" s="513"/>
      <c r="K185" s="513"/>
      <c r="L185" s="513"/>
    </row>
    <row r="186" spans="2:12" s="340" customFormat="1" ht="13.5" hidden="1" customHeight="1" x14ac:dyDescent="0.2">
      <c r="B186" s="513"/>
      <c r="C186" s="513"/>
      <c r="D186" s="513"/>
      <c r="E186" s="513"/>
      <c r="F186" s="513"/>
      <c r="G186" s="513"/>
      <c r="H186" s="513"/>
      <c r="I186" s="513"/>
      <c r="J186" s="513"/>
      <c r="K186" s="513"/>
      <c r="L186" s="513"/>
    </row>
    <row r="187" spans="2:12" s="340" customFormat="1" ht="13.5" hidden="1" customHeight="1" x14ac:dyDescent="0.2">
      <c r="B187" s="513"/>
      <c r="C187" s="513"/>
      <c r="D187" s="513"/>
      <c r="E187" s="513"/>
      <c r="F187" s="513"/>
      <c r="G187" s="513"/>
      <c r="H187" s="513"/>
      <c r="I187" s="513"/>
      <c r="J187" s="513"/>
      <c r="K187" s="513"/>
      <c r="L187" s="513"/>
    </row>
    <row r="188" spans="2:12" s="340" customFormat="1" ht="13.5" hidden="1" customHeight="1" x14ac:dyDescent="0.2">
      <c r="B188" s="513"/>
      <c r="C188" s="513"/>
      <c r="D188" s="513"/>
      <c r="E188" s="513"/>
      <c r="F188" s="513"/>
      <c r="G188" s="513"/>
      <c r="H188" s="513"/>
      <c r="I188" s="513"/>
      <c r="J188" s="513"/>
      <c r="K188" s="513"/>
      <c r="L188" s="513"/>
    </row>
    <row r="189" spans="2:12" s="340" customFormat="1" ht="13.5" hidden="1" customHeight="1" x14ac:dyDescent="0.2">
      <c r="B189" s="513"/>
      <c r="C189" s="513"/>
      <c r="D189" s="513"/>
      <c r="E189" s="513"/>
      <c r="F189" s="513"/>
      <c r="G189" s="513"/>
      <c r="H189" s="513"/>
      <c r="I189" s="513"/>
      <c r="J189" s="513"/>
      <c r="K189" s="513"/>
      <c r="L189" s="513"/>
    </row>
    <row r="190" spans="2:12" s="340" customFormat="1" ht="13.5" hidden="1" customHeight="1" x14ac:dyDescent="0.2">
      <c r="B190" s="513"/>
      <c r="C190" s="513"/>
      <c r="D190" s="513"/>
      <c r="E190" s="513"/>
      <c r="F190" s="513"/>
      <c r="G190" s="513"/>
      <c r="H190" s="513"/>
      <c r="I190" s="513"/>
      <c r="J190" s="513"/>
      <c r="K190" s="513"/>
      <c r="L190" s="513"/>
    </row>
    <row r="191" spans="2:12" s="340" customFormat="1" ht="13.5" hidden="1" customHeight="1" x14ac:dyDescent="0.2">
      <c r="B191" s="513"/>
      <c r="C191" s="513"/>
      <c r="D191" s="513"/>
      <c r="E191" s="513"/>
      <c r="F191" s="513"/>
      <c r="G191" s="513"/>
      <c r="H191" s="513"/>
      <c r="I191" s="513"/>
      <c r="J191" s="513"/>
      <c r="K191" s="513"/>
      <c r="L191" s="513"/>
    </row>
    <row r="192" spans="2:12" s="340" customFormat="1" ht="13.5" hidden="1" customHeight="1" x14ac:dyDescent="0.2">
      <c r="B192" s="513"/>
      <c r="C192" s="513"/>
      <c r="D192" s="513"/>
      <c r="E192" s="513"/>
      <c r="F192" s="513"/>
      <c r="G192" s="513"/>
      <c r="H192" s="513"/>
      <c r="I192" s="513"/>
      <c r="J192" s="513"/>
      <c r="K192" s="513"/>
      <c r="L192" s="513"/>
    </row>
    <row r="193" spans="2:12" s="340" customFormat="1" ht="13.5" hidden="1" customHeight="1" x14ac:dyDescent="0.2">
      <c r="B193" s="513"/>
      <c r="C193" s="513"/>
      <c r="D193" s="513"/>
      <c r="E193" s="513"/>
      <c r="F193" s="513"/>
      <c r="G193" s="513"/>
      <c r="H193" s="513"/>
      <c r="I193" s="513"/>
      <c r="J193" s="513"/>
      <c r="K193" s="513"/>
      <c r="L193" s="513"/>
    </row>
    <row r="194" spans="2:12" s="340" customFormat="1" ht="13.5" hidden="1" customHeight="1" x14ac:dyDescent="0.2">
      <c r="B194" s="513"/>
      <c r="C194" s="513"/>
      <c r="D194" s="513"/>
      <c r="E194" s="513"/>
      <c r="F194" s="513"/>
      <c r="G194" s="513"/>
      <c r="H194" s="513"/>
      <c r="I194" s="513"/>
      <c r="J194" s="513"/>
      <c r="K194" s="513"/>
      <c r="L194" s="513"/>
    </row>
    <row r="195" spans="2:12" s="340" customFormat="1" ht="13.5" hidden="1" customHeight="1" x14ac:dyDescent="0.2">
      <c r="B195" s="513"/>
      <c r="C195" s="513"/>
      <c r="D195" s="513"/>
      <c r="E195" s="513"/>
      <c r="F195" s="513"/>
      <c r="G195" s="513"/>
      <c r="H195" s="513"/>
      <c r="I195" s="513"/>
      <c r="J195" s="513"/>
      <c r="K195" s="513"/>
      <c r="L195" s="513"/>
    </row>
    <row r="196" spans="2:12" s="340" customFormat="1" ht="13.5" hidden="1" customHeight="1" x14ac:dyDescent="0.2">
      <c r="B196" s="513"/>
      <c r="C196" s="513"/>
      <c r="D196" s="513"/>
      <c r="E196" s="513"/>
      <c r="F196" s="513"/>
      <c r="G196" s="513"/>
      <c r="H196" s="513"/>
      <c r="I196" s="513"/>
      <c r="J196" s="513"/>
      <c r="K196" s="513"/>
      <c r="L196" s="513"/>
    </row>
    <row r="197" spans="2:12" s="340" customFormat="1" ht="13.5" hidden="1" customHeight="1" x14ac:dyDescent="0.2">
      <c r="B197" s="513"/>
      <c r="C197" s="513"/>
      <c r="D197" s="513"/>
      <c r="E197" s="513"/>
      <c r="F197" s="513"/>
      <c r="G197" s="513"/>
      <c r="H197" s="513"/>
      <c r="I197" s="513"/>
      <c r="J197" s="513"/>
      <c r="K197" s="513"/>
      <c r="L197" s="513"/>
    </row>
    <row r="198" spans="2:12" s="340" customFormat="1" ht="13.5" hidden="1" customHeight="1" x14ac:dyDescent="0.2">
      <c r="B198" s="513"/>
      <c r="C198" s="513"/>
      <c r="D198" s="513"/>
      <c r="E198" s="513"/>
      <c r="F198" s="513"/>
      <c r="G198" s="513"/>
      <c r="H198" s="513"/>
      <c r="I198" s="513"/>
      <c r="J198" s="513"/>
      <c r="K198" s="513"/>
      <c r="L198" s="513"/>
    </row>
    <row r="199" spans="2:12" s="340" customFormat="1" ht="13.5" hidden="1" customHeight="1" x14ac:dyDescent="0.2">
      <c r="B199" s="513"/>
      <c r="C199" s="513"/>
      <c r="D199" s="513"/>
      <c r="E199" s="513"/>
      <c r="F199" s="513"/>
      <c r="G199" s="513"/>
      <c r="H199" s="513"/>
      <c r="I199" s="513"/>
      <c r="J199" s="513"/>
      <c r="K199" s="513"/>
      <c r="L199" s="513"/>
    </row>
    <row r="200" spans="2:12" s="340" customFormat="1" ht="13.5" hidden="1" customHeight="1" x14ac:dyDescent="0.2">
      <c r="B200" s="513"/>
      <c r="C200" s="513"/>
      <c r="D200" s="513"/>
      <c r="E200" s="513"/>
      <c r="F200" s="513"/>
      <c r="G200" s="513"/>
      <c r="H200" s="513"/>
      <c r="I200" s="513"/>
      <c r="J200" s="513"/>
      <c r="K200" s="513"/>
      <c r="L200" s="513"/>
    </row>
    <row r="201" spans="2:12" s="340" customFormat="1" ht="13.5" hidden="1" customHeight="1" x14ac:dyDescent="0.2">
      <c r="B201" s="513"/>
      <c r="C201" s="513"/>
      <c r="D201" s="513"/>
      <c r="E201" s="513"/>
      <c r="F201" s="513"/>
      <c r="G201" s="513"/>
      <c r="H201" s="513"/>
      <c r="I201" s="513"/>
      <c r="J201" s="513"/>
      <c r="K201" s="513"/>
      <c r="L201" s="513"/>
    </row>
    <row r="202" spans="2:12" s="340" customFormat="1" ht="13.5" hidden="1" customHeight="1" x14ac:dyDescent="0.2">
      <c r="B202" s="513"/>
      <c r="C202" s="513"/>
      <c r="D202" s="513"/>
      <c r="E202" s="513"/>
      <c r="F202" s="513"/>
      <c r="G202" s="513"/>
      <c r="H202" s="513"/>
      <c r="I202" s="513"/>
      <c r="J202" s="513"/>
      <c r="K202" s="513"/>
      <c r="L202" s="513"/>
    </row>
    <row r="203" spans="2:12" s="340" customFormat="1" ht="13.5" hidden="1" customHeight="1" x14ac:dyDescent="0.2">
      <c r="B203" s="513"/>
      <c r="C203" s="513"/>
      <c r="D203" s="513"/>
      <c r="E203" s="513"/>
      <c r="F203" s="513"/>
      <c r="G203" s="513"/>
      <c r="H203" s="513"/>
      <c r="I203" s="513"/>
      <c r="J203" s="513"/>
      <c r="K203" s="513"/>
      <c r="L203" s="513"/>
    </row>
    <row r="204" spans="2:12" s="340" customFormat="1" ht="13.5" hidden="1" customHeight="1" x14ac:dyDescent="0.2">
      <c r="B204" s="513"/>
      <c r="C204" s="513"/>
      <c r="D204" s="513"/>
      <c r="E204" s="513"/>
      <c r="F204" s="513"/>
      <c r="G204" s="513"/>
      <c r="H204" s="513"/>
      <c r="I204" s="513"/>
      <c r="J204" s="513"/>
      <c r="K204" s="513"/>
      <c r="L204" s="513"/>
    </row>
    <row r="205" spans="2:12" s="340" customFormat="1" ht="13.5" hidden="1" customHeight="1" x14ac:dyDescent="0.2">
      <c r="B205" s="513"/>
      <c r="C205" s="513"/>
      <c r="D205" s="513"/>
      <c r="E205" s="513"/>
      <c r="F205" s="513"/>
      <c r="G205" s="513"/>
      <c r="H205" s="513"/>
      <c r="I205" s="513"/>
      <c r="J205" s="513"/>
      <c r="K205" s="513"/>
      <c r="L205" s="513"/>
    </row>
    <row r="206" spans="2:12" s="340" customFormat="1" ht="13.5" hidden="1" customHeight="1" x14ac:dyDescent="0.2">
      <c r="B206" s="513"/>
      <c r="C206" s="513"/>
      <c r="D206" s="513"/>
      <c r="E206" s="513"/>
      <c r="F206" s="513"/>
      <c r="G206" s="513"/>
      <c r="H206" s="513"/>
      <c r="I206" s="513"/>
      <c r="J206" s="513"/>
      <c r="K206" s="513"/>
      <c r="L206" s="513"/>
    </row>
    <row r="207" spans="2:12" s="340" customFormat="1" ht="13.5" hidden="1" customHeight="1" x14ac:dyDescent="0.2">
      <c r="B207" s="513"/>
      <c r="C207" s="513"/>
      <c r="D207" s="513"/>
      <c r="E207" s="513"/>
      <c r="F207" s="513"/>
      <c r="G207" s="513"/>
      <c r="H207" s="513"/>
      <c r="I207" s="513"/>
      <c r="J207" s="513"/>
      <c r="K207" s="513"/>
      <c r="L207" s="513"/>
    </row>
    <row r="208" spans="2:12" s="340" customFormat="1" ht="13.5" hidden="1" customHeight="1" x14ac:dyDescent="0.2">
      <c r="B208" s="513"/>
      <c r="C208" s="513"/>
      <c r="D208" s="513"/>
      <c r="E208" s="513"/>
      <c r="F208" s="513"/>
      <c r="G208" s="513"/>
      <c r="H208" s="513"/>
      <c r="I208" s="513"/>
      <c r="J208" s="513"/>
      <c r="K208" s="513"/>
      <c r="L208" s="513"/>
    </row>
    <row r="209" spans="2:12" s="340" customFormat="1" ht="13.5" hidden="1" customHeight="1" x14ac:dyDescent="0.2">
      <c r="B209" s="513"/>
      <c r="C209" s="513"/>
      <c r="D209" s="513"/>
      <c r="E209" s="513"/>
      <c r="F209" s="513"/>
      <c r="G209" s="513"/>
      <c r="H209" s="513"/>
      <c r="I209" s="513"/>
      <c r="J209" s="513"/>
      <c r="K209" s="513"/>
      <c r="L209" s="513"/>
    </row>
    <row r="210" spans="2:12" s="340" customFormat="1" ht="13.5" hidden="1" customHeight="1" x14ac:dyDescent="0.2">
      <c r="B210" s="513"/>
      <c r="C210" s="513"/>
      <c r="D210" s="513"/>
      <c r="E210" s="513"/>
      <c r="F210" s="513"/>
      <c r="G210" s="513"/>
      <c r="H210" s="513"/>
      <c r="I210" s="513"/>
      <c r="J210" s="513"/>
      <c r="K210" s="513"/>
      <c r="L210" s="513"/>
    </row>
    <row r="211" spans="2:12" s="340" customFormat="1" ht="13.5" hidden="1" customHeight="1" x14ac:dyDescent="0.2">
      <c r="B211" s="513"/>
      <c r="C211" s="513"/>
      <c r="D211" s="513"/>
      <c r="E211" s="513"/>
      <c r="F211" s="513"/>
      <c r="G211" s="513"/>
      <c r="H211" s="513"/>
      <c r="I211" s="513"/>
      <c r="J211" s="513"/>
      <c r="K211" s="513"/>
      <c r="L211" s="513"/>
    </row>
    <row r="212" spans="2:12" s="340" customFormat="1" ht="13.5" hidden="1" customHeight="1" x14ac:dyDescent="0.2">
      <c r="B212" s="513"/>
      <c r="C212" s="513"/>
      <c r="D212" s="513"/>
      <c r="E212" s="513"/>
      <c r="F212" s="513"/>
      <c r="G212" s="513"/>
      <c r="H212" s="513"/>
      <c r="I212" s="513"/>
      <c r="J212" s="513"/>
      <c r="K212" s="513"/>
      <c r="L212" s="513"/>
    </row>
    <row r="213" spans="2:12" s="340" customFormat="1" ht="13.5" hidden="1" customHeight="1" x14ac:dyDescent="0.2">
      <c r="B213" s="513"/>
      <c r="C213" s="513"/>
      <c r="D213" s="513"/>
      <c r="E213" s="513"/>
      <c r="F213" s="513"/>
      <c r="G213" s="513"/>
      <c r="H213" s="513"/>
      <c r="I213" s="513"/>
      <c r="J213" s="513"/>
      <c r="K213" s="513"/>
      <c r="L213" s="513"/>
    </row>
    <row r="214" spans="2:12" s="340" customFormat="1" ht="13.5" hidden="1" customHeight="1" x14ac:dyDescent="0.2">
      <c r="B214" s="513"/>
      <c r="C214" s="513"/>
      <c r="D214" s="513"/>
      <c r="E214" s="513"/>
      <c r="F214" s="513"/>
      <c r="G214" s="513"/>
      <c r="H214" s="513"/>
      <c r="I214" s="513"/>
      <c r="J214" s="513"/>
      <c r="K214" s="513"/>
      <c r="L214" s="513"/>
    </row>
    <row r="215" spans="2:12" s="340" customFormat="1" ht="13.5" hidden="1" customHeight="1" x14ac:dyDescent="0.2">
      <c r="B215" s="513"/>
      <c r="C215" s="513"/>
      <c r="D215" s="513"/>
      <c r="E215" s="513"/>
      <c r="F215" s="513"/>
      <c r="G215" s="513"/>
      <c r="H215" s="513"/>
      <c r="I215" s="513"/>
      <c r="J215" s="513"/>
      <c r="K215" s="513"/>
      <c r="L215" s="513"/>
    </row>
    <row r="216" spans="2:12" s="340" customFormat="1" ht="13.5" hidden="1" customHeight="1" x14ac:dyDescent="0.2">
      <c r="B216" s="513"/>
      <c r="C216" s="513"/>
      <c r="D216" s="513"/>
      <c r="E216" s="513"/>
      <c r="F216" s="513"/>
      <c r="G216" s="513"/>
      <c r="H216" s="513"/>
      <c r="I216" s="513"/>
      <c r="J216" s="513"/>
      <c r="K216" s="513"/>
      <c r="L216" s="513"/>
    </row>
    <row r="217" spans="2:12" s="340" customFormat="1" ht="13.5" hidden="1" customHeight="1" x14ac:dyDescent="0.2">
      <c r="B217" s="513"/>
      <c r="C217" s="513"/>
      <c r="D217" s="513"/>
      <c r="E217" s="513"/>
      <c r="F217" s="513"/>
      <c r="G217" s="513"/>
      <c r="H217" s="513"/>
      <c r="I217" s="513"/>
      <c r="J217" s="513"/>
      <c r="K217" s="513"/>
      <c r="L217" s="513"/>
    </row>
    <row r="218" spans="2:12" s="340" customFormat="1" ht="13.5" hidden="1" customHeight="1" x14ac:dyDescent="0.2">
      <c r="B218" s="513"/>
      <c r="C218" s="513"/>
      <c r="D218" s="513"/>
      <c r="E218" s="513"/>
      <c r="F218" s="513"/>
      <c r="G218" s="513"/>
      <c r="H218" s="513"/>
      <c r="I218" s="513"/>
      <c r="J218" s="513"/>
      <c r="K218" s="513"/>
      <c r="L218" s="513"/>
    </row>
    <row r="219" spans="2:12" s="340" customFormat="1" ht="13.5" hidden="1" customHeight="1" x14ac:dyDescent="0.2">
      <c r="B219" s="513"/>
      <c r="C219" s="513"/>
      <c r="D219" s="513"/>
      <c r="E219" s="513"/>
      <c r="F219" s="513"/>
      <c r="G219" s="513"/>
      <c r="H219" s="513"/>
      <c r="I219" s="513"/>
      <c r="J219" s="513"/>
      <c r="K219" s="513"/>
      <c r="L219" s="513"/>
    </row>
    <row r="220" spans="2:12" s="340" customFormat="1" ht="13.5" hidden="1" customHeight="1" x14ac:dyDescent="0.2">
      <c r="B220" s="513"/>
      <c r="C220" s="513"/>
      <c r="D220" s="513"/>
      <c r="E220" s="513"/>
      <c r="F220" s="513"/>
      <c r="G220" s="513"/>
      <c r="H220" s="513"/>
      <c r="I220" s="513"/>
      <c r="J220" s="513"/>
      <c r="K220" s="513"/>
      <c r="L220" s="513"/>
    </row>
    <row r="221" spans="2:12" s="340" customFormat="1" ht="13.5" hidden="1" customHeight="1" x14ac:dyDescent="0.2">
      <c r="B221" s="513"/>
      <c r="C221" s="513"/>
      <c r="D221" s="513"/>
      <c r="E221" s="513"/>
      <c r="F221" s="513"/>
      <c r="G221" s="513"/>
      <c r="H221" s="513"/>
      <c r="I221" s="513"/>
      <c r="J221" s="513"/>
      <c r="K221" s="513"/>
      <c r="L221" s="513"/>
    </row>
    <row r="222" spans="2:12" s="340" customFormat="1" ht="13.5" hidden="1" customHeight="1" x14ac:dyDescent="0.2">
      <c r="B222" s="513"/>
      <c r="C222" s="513"/>
      <c r="D222" s="513"/>
      <c r="E222" s="513"/>
      <c r="F222" s="513"/>
      <c r="G222" s="513"/>
      <c r="H222" s="513"/>
      <c r="I222" s="513"/>
      <c r="J222" s="513"/>
      <c r="K222" s="513"/>
      <c r="L222" s="513"/>
    </row>
    <row r="223" spans="2:12" s="340" customFormat="1" ht="13.5" hidden="1" customHeight="1" x14ac:dyDescent="0.2">
      <c r="B223" s="513"/>
      <c r="C223" s="513"/>
      <c r="D223" s="513"/>
      <c r="E223" s="513"/>
      <c r="F223" s="513"/>
      <c r="G223" s="513"/>
      <c r="H223" s="513"/>
      <c r="I223" s="513"/>
      <c r="J223" s="513"/>
      <c r="K223" s="513"/>
      <c r="L223" s="513"/>
    </row>
    <row r="224" spans="2:12" s="340" customFormat="1" ht="13.5" hidden="1" customHeight="1" x14ac:dyDescent="0.2">
      <c r="B224" s="513"/>
      <c r="C224" s="513"/>
      <c r="D224" s="513"/>
      <c r="E224" s="513"/>
      <c r="F224" s="513"/>
      <c r="G224" s="513"/>
      <c r="H224" s="513"/>
      <c r="I224" s="513"/>
      <c r="J224" s="513"/>
      <c r="K224" s="513"/>
      <c r="L224" s="513"/>
    </row>
    <row r="225" spans="2:12" s="340" customFormat="1" ht="13.5" hidden="1" customHeight="1" x14ac:dyDescent="0.2">
      <c r="B225" s="513"/>
      <c r="C225" s="513"/>
      <c r="D225" s="513"/>
      <c r="E225" s="513"/>
      <c r="F225" s="513"/>
      <c r="G225" s="513"/>
      <c r="H225" s="513"/>
      <c r="I225" s="513"/>
      <c r="J225" s="513"/>
      <c r="K225" s="513"/>
      <c r="L225" s="513"/>
    </row>
    <row r="226" spans="2:12" s="340" customFormat="1" ht="13.5" hidden="1" customHeight="1" x14ac:dyDescent="0.2">
      <c r="B226" s="513"/>
      <c r="C226" s="513"/>
      <c r="D226" s="513"/>
      <c r="E226" s="513"/>
      <c r="F226" s="513"/>
      <c r="G226" s="513"/>
      <c r="H226" s="513"/>
      <c r="I226" s="513"/>
      <c r="J226" s="513"/>
      <c r="K226" s="513"/>
      <c r="L226" s="513"/>
    </row>
    <row r="227" spans="2:12" s="340" customFormat="1" ht="13.5" hidden="1" customHeight="1" x14ac:dyDescent="0.2">
      <c r="B227" s="513"/>
      <c r="C227" s="513"/>
      <c r="D227" s="513"/>
      <c r="E227" s="513"/>
      <c r="F227" s="513"/>
      <c r="G227" s="513"/>
      <c r="H227" s="513"/>
      <c r="I227" s="513"/>
      <c r="J227" s="513"/>
      <c r="K227" s="513"/>
      <c r="L227" s="513"/>
    </row>
    <row r="228" spans="2:12" s="340" customFormat="1" ht="13.5" hidden="1" customHeight="1" x14ac:dyDescent="0.2">
      <c r="B228" s="513"/>
      <c r="C228" s="513"/>
      <c r="D228" s="513"/>
      <c r="E228" s="513"/>
      <c r="F228" s="513"/>
      <c r="G228" s="513"/>
      <c r="H228" s="513"/>
      <c r="I228" s="513"/>
      <c r="J228" s="513"/>
      <c r="K228" s="513"/>
      <c r="L228" s="513"/>
    </row>
    <row r="229" spans="2:12" s="340" customFormat="1" ht="13.5" hidden="1" customHeight="1" x14ac:dyDescent="0.2">
      <c r="B229" s="513"/>
      <c r="C229" s="513"/>
      <c r="D229" s="513"/>
      <c r="E229" s="513"/>
      <c r="F229" s="513"/>
      <c r="G229" s="513"/>
      <c r="H229" s="513"/>
      <c r="I229" s="513"/>
      <c r="J229" s="513"/>
      <c r="K229" s="513"/>
      <c r="L229" s="513"/>
    </row>
    <row r="230" spans="2:12" s="340" customFormat="1" ht="13.5" hidden="1" customHeight="1" x14ac:dyDescent="0.2">
      <c r="B230" s="513"/>
      <c r="C230" s="513"/>
      <c r="D230" s="513"/>
      <c r="E230" s="513"/>
      <c r="F230" s="513"/>
      <c r="G230" s="513"/>
      <c r="H230" s="513"/>
      <c r="I230" s="513"/>
      <c r="J230" s="513"/>
      <c r="K230" s="513"/>
      <c r="L230" s="513"/>
    </row>
    <row r="231" spans="2:12" s="340" customFormat="1" ht="13.5" hidden="1" customHeight="1" x14ac:dyDescent="0.2">
      <c r="B231" s="513"/>
      <c r="C231" s="513"/>
      <c r="D231" s="513"/>
      <c r="E231" s="513"/>
      <c r="F231" s="513"/>
      <c r="G231" s="513"/>
      <c r="H231" s="513"/>
      <c r="I231" s="513"/>
      <c r="J231" s="513"/>
      <c r="K231" s="513"/>
      <c r="L231" s="513"/>
    </row>
    <row r="232" spans="2:12" s="340" customFormat="1" ht="13.5" hidden="1" customHeight="1" x14ac:dyDescent="0.2">
      <c r="B232" s="513"/>
      <c r="C232" s="513"/>
      <c r="D232" s="513"/>
      <c r="E232" s="513"/>
      <c r="F232" s="513"/>
      <c r="G232" s="513"/>
      <c r="H232" s="513"/>
      <c r="I232" s="513"/>
      <c r="J232" s="513"/>
      <c r="K232" s="513"/>
      <c r="L232" s="513"/>
    </row>
    <row r="233" spans="2:12" s="340" customFormat="1" ht="13.5" hidden="1" customHeight="1" x14ac:dyDescent="0.2">
      <c r="B233" s="513"/>
      <c r="C233" s="513"/>
      <c r="D233" s="513"/>
      <c r="E233" s="513"/>
      <c r="F233" s="513"/>
      <c r="G233" s="513"/>
      <c r="H233" s="513"/>
      <c r="I233" s="513"/>
      <c r="J233" s="513"/>
      <c r="K233" s="513"/>
      <c r="L233" s="513"/>
    </row>
    <row r="234" spans="2:12" s="340" customFormat="1" ht="13.5" hidden="1" customHeight="1" x14ac:dyDescent="0.2">
      <c r="B234" s="513"/>
      <c r="C234" s="513"/>
      <c r="D234" s="513"/>
      <c r="E234" s="513"/>
      <c r="F234" s="513"/>
      <c r="G234" s="513"/>
      <c r="H234" s="513"/>
      <c r="I234" s="513"/>
      <c r="J234" s="513"/>
      <c r="K234" s="513"/>
      <c r="L234" s="513"/>
    </row>
    <row r="235" spans="2:12" s="340" customFormat="1" ht="13.5" hidden="1" customHeight="1" x14ac:dyDescent="0.2">
      <c r="B235" s="513"/>
      <c r="C235" s="513"/>
      <c r="D235" s="513"/>
      <c r="E235" s="513"/>
      <c r="F235" s="513"/>
      <c r="G235" s="513"/>
      <c r="H235" s="513"/>
      <c r="I235" s="513"/>
      <c r="J235" s="513"/>
      <c r="K235" s="513"/>
      <c r="L235" s="513"/>
    </row>
    <row r="236" spans="2:12" s="340" customFormat="1" ht="13.5" hidden="1" customHeight="1" x14ac:dyDescent="0.2">
      <c r="B236" s="513"/>
      <c r="C236" s="513"/>
      <c r="D236" s="513"/>
      <c r="E236" s="513"/>
      <c r="F236" s="513"/>
      <c r="G236" s="513"/>
      <c r="H236" s="513"/>
      <c r="I236" s="513"/>
      <c r="J236" s="513"/>
      <c r="K236" s="513"/>
      <c r="L236" s="513"/>
    </row>
    <row r="237" spans="2:12" s="340" customFormat="1" ht="13.5" hidden="1" customHeight="1" x14ac:dyDescent="0.2">
      <c r="B237" s="513"/>
      <c r="C237" s="513"/>
      <c r="D237" s="513"/>
      <c r="E237" s="513"/>
      <c r="F237" s="513"/>
      <c r="G237" s="513"/>
      <c r="H237" s="513"/>
      <c r="I237" s="513"/>
      <c r="J237" s="513"/>
      <c r="K237" s="513"/>
      <c r="L237" s="513"/>
    </row>
    <row r="238" spans="2:12" s="340" customFormat="1" ht="13.5" hidden="1" customHeight="1" x14ac:dyDescent="0.2">
      <c r="B238" s="513"/>
      <c r="C238" s="513"/>
      <c r="D238" s="513"/>
      <c r="E238" s="513"/>
      <c r="F238" s="513"/>
      <c r="G238" s="513"/>
      <c r="H238" s="513"/>
      <c r="I238" s="513"/>
      <c r="J238" s="513"/>
      <c r="K238" s="513"/>
      <c r="L238" s="513"/>
    </row>
    <row r="239" spans="2:12" s="340" customFormat="1" ht="13.5" hidden="1" customHeight="1" x14ac:dyDescent="0.2">
      <c r="B239" s="513"/>
      <c r="C239" s="513"/>
      <c r="D239" s="513"/>
      <c r="E239" s="513"/>
      <c r="F239" s="513"/>
      <c r="G239" s="513"/>
      <c r="H239" s="513"/>
      <c r="I239" s="513"/>
      <c r="J239" s="513"/>
      <c r="K239" s="513"/>
      <c r="L239" s="513"/>
    </row>
    <row r="240" spans="2:12" s="340" customFormat="1" ht="13.5" hidden="1" customHeight="1" x14ac:dyDescent="0.2">
      <c r="B240" s="513"/>
      <c r="C240" s="513"/>
      <c r="D240" s="513"/>
      <c r="E240" s="513"/>
      <c r="F240" s="513"/>
      <c r="G240" s="513"/>
      <c r="H240" s="513"/>
      <c r="I240" s="513"/>
      <c r="J240" s="513"/>
      <c r="K240" s="513"/>
      <c r="L240" s="513"/>
    </row>
    <row r="241" spans="2:12" s="340" customFormat="1" ht="13.5" hidden="1" customHeight="1" x14ac:dyDescent="0.2">
      <c r="B241" s="513"/>
      <c r="C241" s="513"/>
      <c r="D241" s="513"/>
      <c r="E241" s="513"/>
      <c r="F241" s="513"/>
      <c r="G241" s="513"/>
      <c r="H241" s="513"/>
      <c r="I241" s="513"/>
      <c r="J241" s="513"/>
      <c r="K241" s="513"/>
      <c r="L241" s="513"/>
    </row>
    <row r="242" spans="2:12" s="340" customFormat="1" ht="13.5" hidden="1" customHeight="1" x14ac:dyDescent="0.2">
      <c r="B242" s="513"/>
      <c r="C242" s="513"/>
      <c r="D242" s="513"/>
      <c r="E242" s="513"/>
      <c r="F242" s="513"/>
      <c r="G242" s="513"/>
      <c r="H242" s="513"/>
      <c r="I242" s="513"/>
      <c r="J242" s="513"/>
      <c r="K242" s="513"/>
      <c r="L242" s="513"/>
    </row>
    <row r="243" spans="2:12" s="340" customFormat="1" ht="13.5" hidden="1" customHeight="1" x14ac:dyDescent="0.2">
      <c r="B243" s="513"/>
      <c r="C243" s="513"/>
      <c r="D243" s="513"/>
      <c r="E243" s="513"/>
      <c r="F243" s="513"/>
      <c r="G243" s="513"/>
      <c r="H243" s="513"/>
      <c r="I243" s="513"/>
      <c r="J243" s="513"/>
      <c r="K243" s="513"/>
      <c r="L243" s="513"/>
    </row>
    <row r="244" spans="2:12" s="340" customFormat="1" ht="13.5" hidden="1" customHeight="1" x14ac:dyDescent="0.2">
      <c r="B244" s="513"/>
      <c r="C244" s="513"/>
      <c r="D244" s="513"/>
      <c r="E244" s="513"/>
      <c r="F244" s="513"/>
      <c r="G244" s="513"/>
      <c r="H244" s="513"/>
      <c r="I244" s="513"/>
      <c r="J244" s="513"/>
      <c r="K244" s="513"/>
      <c r="L244" s="513"/>
    </row>
    <row r="245" spans="2:12" s="340" customFormat="1" ht="13.5" hidden="1" customHeight="1" x14ac:dyDescent="0.2">
      <c r="B245" s="513"/>
      <c r="C245" s="513"/>
      <c r="D245" s="513"/>
      <c r="E245" s="513"/>
      <c r="F245" s="513"/>
      <c r="G245" s="513"/>
      <c r="H245" s="513"/>
      <c r="I245" s="513"/>
      <c r="J245" s="513"/>
      <c r="K245" s="513"/>
      <c r="L245" s="513"/>
    </row>
    <row r="246" spans="2:12" s="340" customFormat="1" ht="13.5" hidden="1" customHeight="1" x14ac:dyDescent="0.2">
      <c r="B246" s="513"/>
      <c r="C246" s="513"/>
      <c r="D246" s="513"/>
      <c r="E246" s="513"/>
      <c r="F246" s="513"/>
      <c r="G246" s="513"/>
      <c r="H246" s="513"/>
      <c r="I246" s="513"/>
      <c r="J246" s="513"/>
      <c r="K246" s="513"/>
      <c r="L246" s="513"/>
    </row>
    <row r="247" spans="2:12" s="340" customFormat="1" ht="13.5" hidden="1" customHeight="1" x14ac:dyDescent="0.2">
      <c r="B247" s="513"/>
      <c r="C247" s="513"/>
      <c r="D247" s="513"/>
      <c r="E247" s="513"/>
      <c r="F247" s="513"/>
      <c r="G247" s="513"/>
      <c r="H247" s="513"/>
      <c r="I247" s="513"/>
      <c r="J247" s="513"/>
      <c r="K247" s="513"/>
      <c r="L247" s="513"/>
    </row>
    <row r="248" spans="2:12" s="340" customFormat="1" ht="13.5" hidden="1" customHeight="1" x14ac:dyDescent="0.2">
      <c r="B248" s="513"/>
      <c r="C248" s="513"/>
      <c r="D248" s="513"/>
      <c r="E248" s="513"/>
      <c r="F248" s="513"/>
      <c r="G248" s="513"/>
      <c r="H248" s="513"/>
      <c r="I248" s="513"/>
      <c r="J248" s="513"/>
      <c r="K248" s="513"/>
      <c r="L248" s="513"/>
    </row>
    <row r="249" spans="2:12" s="340" customFormat="1" ht="13.5" hidden="1" customHeight="1" x14ac:dyDescent="0.2">
      <c r="B249" s="513"/>
      <c r="C249" s="513"/>
      <c r="D249" s="513"/>
      <c r="E249" s="513"/>
      <c r="F249" s="513"/>
      <c r="G249" s="513"/>
      <c r="H249" s="513"/>
      <c r="I249" s="513"/>
      <c r="J249" s="513"/>
      <c r="K249" s="513"/>
      <c r="L249" s="513"/>
    </row>
    <row r="250" spans="2:12" s="340" customFormat="1" ht="13.5" hidden="1" customHeight="1" x14ac:dyDescent="0.2">
      <c r="B250" s="513"/>
      <c r="C250" s="513"/>
      <c r="D250" s="513"/>
      <c r="E250" s="513"/>
      <c r="F250" s="513"/>
      <c r="G250" s="513"/>
      <c r="H250" s="513"/>
      <c r="I250" s="513"/>
      <c r="J250" s="513"/>
      <c r="K250" s="513"/>
      <c r="L250" s="513"/>
    </row>
    <row r="251" spans="2:12" s="340" customFormat="1" ht="13.5" hidden="1" customHeight="1" x14ac:dyDescent="0.2">
      <c r="B251" s="513"/>
      <c r="C251" s="513"/>
      <c r="D251" s="513"/>
      <c r="E251" s="513"/>
      <c r="F251" s="513"/>
      <c r="G251" s="513"/>
      <c r="H251" s="513"/>
      <c r="I251" s="513"/>
      <c r="J251" s="513"/>
      <c r="K251" s="513"/>
      <c r="L251" s="513"/>
    </row>
    <row r="252" spans="2:12" s="340" customFormat="1" ht="13.5" hidden="1" customHeight="1" x14ac:dyDescent="0.2">
      <c r="B252" s="513"/>
      <c r="C252" s="513"/>
      <c r="D252" s="513"/>
      <c r="E252" s="513"/>
      <c r="F252" s="513"/>
      <c r="G252" s="513"/>
      <c r="H252" s="513"/>
      <c r="I252" s="513"/>
      <c r="J252" s="513"/>
      <c r="K252" s="513"/>
      <c r="L252" s="513"/>
    </row>
    <row r="253" spans="2:12" s="340" customFormat="1" ht="13.5" hidden="1" customHeight="1" x14ac:dyDescent="0.2">
      <c r="B253" s="513"/>
      <c r="C253" s="513"/>
      <c r="D253" s="513"/>
      <c r="E253" s="513"/>
      <c r="F253" s="513"/>
      <c r="G253" s="513"/>
      <c r="H253" s="513"/>
      <c r="I253" s="513"/>
      <c r="J253" s="513"/>
      <c r="K253" s="513"/>
      <c r="L253" s="513"/>
    </row>
    <row r="254" spans="2:12" s="340" customFormat="1" ht="13.5" hidden="1" customHeight="1" x14ac:dyDescent="0.2">
      <c r="B254" s="513"/>
      <c r="C254" s="513"/>
      <c r="D254" s="513"/>
      <c r="E254" s="513"/>
      <c r="F254" s="513"/>
      <c r="G254" s="513"/>
      <c r="H254" s="513"/>
      <c r="I254" s="513"/>
      <c r="J254" s="513"/>
      <c r="K254" s="513"/>
      <c r="L254" s="513"/>
    </row>
    <row r="255" spans="2:12" s="340" customFormat="1" ht="13.5" hidden="1" customHeight="1" x14ac:dyDescent="0.2">
      <c r="B255" s="513"/>
      <c r="C255" s="513"/>
      <c r="D255" s="513"/>
      <c r="E255" s="513"/>
      <c r="F255" s="513"/>
      <c r="G255" s="513"/>
      <c r="H255" s="513"/>
      <c r="I255" s="513"/>
      <c r="J255" s="513"/>
      <c r="K255" s="513"/>
      <c r="L255" s="513"/>
    </row>
    <row r="256" spans="2:12" s="340" customFormat="1" ht="13.5" hidden="1" customHeight="1" x14ac:dyDescent="0.2">
      <c r="B256" s="513"/>
      <c r="C256" s="513"/>
      <c r="D256" s="513"/>
      <c r="E256" s="513"/>
      <c r="F256" s="513"/>
      <c r="G256" s="513"/>
      <c r="H256" s="513"/>
      <c r="I256" s="513"/>
      <c r="J256" s="513"/>
      <c r="K256" s="513"/>
      <c r="L256" s="513"/>
    </row>
    <row r="257" spans="2:12" s="340" customFormat="1" ht="13.5" hidden="1" customHeight="1" x14ac:dyDescent="0.2">
      <c r="B257" s="513"/>
      <c r="C257" s="513"/>
      <c r="D257" s="513"/>
      <c r="E257" s="513"/>
      <c r="F257" s="513"/>
      <c r="G257" s="513"/>
      <c r="H257" s="513"/>
      <c r="I257" s="513"/>
      <c r="J257" s="513"/>
      <c r="K257" s="513"/>
      <c r="L257" s="513"/>
    </row>
    <row r="258" spans="2:12" s="340" customFormat="1" ht="13.5" hidden="1" customHeight="1" x14ac:dyDescent="0.2">
      <c r="B258" s="513"/>
      <c r="C258" s="513"/>
      <c r="D258" s="513"/>
      <c r="E258" s="513"/>
      <c r="F258" s="513"/>
      <c r="G258" s="513"/>
      <c r="H258" s="513"/>
      <c r="I258" s="513"/>
      <c r="J258" s="513"/>
      <c r="K258" s="513"/>
      <c r="L258" s="513"/>
    </row>
    <row r="259" spans="2:12" s="340" customFormat="1" ht="13.5" hidden="1" customHeight="1" x14ac:dyDescent="0.2">
      <c r="B259" s="513"/>
      <c r="C259" s="513"/>
      <c r="D259" s="513"/>
      <c r="E259" s="513"/>
      <c r="F259" s="513"/>
      <c r="G259" s="513"/>
      <c r="H259" s="513"/>
      <c r="I259" s="513"/>
      <c r="J259" s="513"/>
      <c r="K259" s="513"/>
      <c r="L259" s="513"/>
    </row>
    <row r="260" spans="2:12" s="340" customFormat="1" ht="13.5" hidden="1" customHeight="1" x14ac:dyDescent="0.2">
      <c r="B260" s="513"/>
      <c r="C260" s="513"/>
      <c r="D260" s="513"/>
      <c r="E260" s="513"/>
      <c r="F260" s="513"/>
      <c r="G260" s="513"/>
      <c r="H260" s="513"/>
      <c r="I260" s="513"/>
      <c r="J260" s="513"/>
      <c r="K260" s="513"/>
      <c r="L260" s="513"/>
    </row>
    <row r="261" spans="2:12" s="340" customFormat="1" ht="13.5" hidden="1" customHeight="1" x14ac:dyDescent="0.2">
      <c r="B261" s="513"/>
      <c r="C261" s="513"/>
      <c r="D261" s="513"/>
      <c r="E261" s="513"/>
      <c r="F261" s="513"/>
      <c r="G261" s="513"/>
      <c r="H261" s="513"/>
      <c r="I261" s="513"/>
      <c r="J261" s="513"/>
      <c r="K261" s="513"/>
      <c r="L261" s="513"/>
    </row>
    <row r="262" spans="2:12" s="340" customFormat="1" ht="13.5" hidden="1" customHeight="1" x14ac:dyDescent="0.2">
      <c r="B262" s="513"/>
      <c r="C262" s="513"/>
      <c r="D262" s="513"/>
      <c r="E262" s="513"/>
      <c r="F262" s="513"/>
      <c r="G262" s="513"/>
      <c r="H262" s="513"/>
      <c r="I262" s="513"/>
      <c r="J262" s="513"/>
      <c r="K262" s="513"/>
      <c r="L262" s="513"/>
    </row>
    <row r="263" spans="2:12" s="340" customFormat="1" ht="13.5" hidden="1" customHeight="1" x14ac:dyDescent="0.2">
      <c r="B263" s="513"/>
      <c r="C263" s="513"/>
      <c r="D263" s="513"/>
      <c r="E263" s="513"/>
      <c r="F263" s="513"/>
      <c r="G263" s="513"/>
      <c r="H263" s="513"/>
      <c r="I263" s="513"/>
      <c r="J263" s="513"/>
      <c r="K263" s="513"/>
      <c r="L263" s="513"/>
    </row>
    <row r="264" spans="2:12" s="340" customFormat="1" ht="13.5" hidden="1" customHeight="1" x14ac:dyDescent="0.2">
      <c r="B264" s="513"/>
      <c r="C264" s="513"/>
      <c r="D264" s="513"/>
      <c r="E264" s="513"/>
      <c r="F264" s="513"/>
      <c r="G264" s="513"/>
      <c r="H264" s="513"/>
      <c r="I264" s="513"/>
      <c r="J264" s="513"/>
      <c r="K264" s="513"/>
      <c r="L264" s="513"/>
    </row>
    <row r="265" spans="2:12" s="340" customFormat="1" ht="13.5" hidden="1" customHeight="1" x14ac:dyDescent="0.2">
      <c r="B265" s="513"/>
      <c r="C265" s="513"/>
      <c r="D265" s="513"/>
      <c r="E265" s="513"/>
      <c r="F265" s="513"/>
      <c r="G265" s="513"/>
      <c r="H265" s="513"/>
      <c r="I265" s="513"/>
      <c r="J265" s="513"/>
      <c r="K265" s="513"/>
      <c r="L265" s="513"/>
    </row>
    <row r="266" spans="2:12" s="340" customFormat="1" ht="13.5" hidden="1" customHeight="1" x14ac:dyDescent="0.2">
      <c r="B266" s="513"/>
      <c r="C266" s="513"/>
      <c r="D266" s="513"/>
      <c r="E266" s="513"/>
      <c r="F266" s="513"/>
      <c r="G266" s="513"/>
      <c r="H266" s="513"/>
      <c r="I266" s="513"/>
      <c r="J266" s="513"/>
      <c r="K266" s="513"/>
      <c r="L266" s="513"/>
    </row>
    <row r="267" spans="2:12" s="340" customFormat="1" ht="13.5" hidden="1" customHeight="1" x14ac:dyDescent="0.2">
      <c r="B267" s="513"/>
      <c r="C267" s="513"/>
      <c r="D267" s="513"/>
      <c r="E267" s="513"/>
      <c r="F267" s="513"/>
      <c r="G267" s="513"/>
      <c r="H267" s="513"/>
      <c r="I267" s="513"/>
      <c r="J267" s="513"/>
      <c r="K267" s="513"/>
      <c r="L267" s="513"/>
    </row>
    <row r="268" spans="2:12" s="340" customFormat="1" ht="13.5" hidden="1" customHeight="1" x14ac:dyDescent="0.2">
      <c r="B268" s="513"/>
      <c r="C268" s="513"/>
      <c r="D268" s="513"/>
      <c r="E268" s="513"/>
      <c r="F268" s="513"/>
      <c r="G268" s="513"/>
      <c r="H268" s="513"/>
      <c r="I268" s="513"/>
      <c r="J268" s="513"/>
      <c r="K268" s="513"/>
      <c r="L268" s="513"/>
    </row>
    <row r="269" spans="2:12" s="340" customFormat="1" ht="13.5" hidden="1" customHeight="1" x14ac:dyDescent="0.2">
      <c r="B269" s="513"/>
      <c r="C269" s="513"/>
      <c r="D269" s="513"/>
      <c r="E269" s="513"/>
      <c r="F269" s="513"/>
      <c r="G269" s="513"/>
      <c r="H269" s="513"/>
      <c r="I269" s="513"/>
      <c r="J269" s="513"/>
      <c r="K269" s="513"/>
      <c r="L269" s="513"/>
    </row>
    <row r="270" spans="2:12" s="340" customFormat="1" ht="13.5" hidden="1" customHeight="1" x14ac:dyDescent="0.2">
      <c r="B270" s="513"/>
      <c r="C270" s="513"/>
      <c r="D270" s="513"/>
      <c r="E270" s="513"/>
      <c r="F270" s="513"/>
      <c r="G270" s="513"/>
      <c r="H270" s="513"/>
      <c r="I270" s="513"/>
      <c r="J270" s="513"/>
      <c r="K270" s="513"/>
      <c r="L270" s="513"/>
    </row>
    <row r="271" spans="2:12" s="340" customFormat="1" ht="13.5" hidden="1" customHeight="1" x14ac:dyDescent="0.2">
      <c r="B271" s="513"/>
      <c r="C271" s="513"/>
      <c r="D271" s="513"/>
      <c r="E271" s="513"/>
      <c r="F271" s="513"/>
      <c r="G271" s="513"/>
      <c r="H271" s="513"/>
      <c r="I271" s="513"/>
      <c r="J271" s="513"/>
      <c r="K271" s="513"/>
      <c r="L271" s="513"/>
    </row>
    <row r="272" spans="2:12" s="340" customFormat="1" ht="13.5" hidden="1" customHeight="1" x14ac:dyDescent="0.2">
      <c r="B272" s="513"/>
      <c r="C272" s="513"/>
      <c r="D272" s="513"/>
      <c r="E272" s="513"/>
      <c r="F272" s="513"/>
      <c r="G272" s="513"/>
      <c r="H272" s="513"/>
      <c r="I272" s="513"/>
      <c r="J272" s="513"/>
      <c r="K272" s="513"/>
      <c r="L272" s="513"/>
    </row>
    <row r="273" spans="2:12" s="340" customFormat="1" ht="13.5" hidden="1" customHeight="1" x14ac:dyDescent="0.2">
      <c r="B273" s="513"/>
      <c r="C273" s="513"/>
      <c r="D273" s="513"/>
      <c r="E273" s="513"/>
      <c r="F273" s="513"/>
      <c r="G273" s="513"/>
      <c r="H273" s="513"/>
      <c r="I273" s="513"/>
      <c r="J273" s="513"/>
      <c r="K273" s="513"/>
      <c r="L273" s="513"/>
    </row>
    <row r="274" spans="2:12" s="340" customFormat="1" ht="13.5" hidden="1" customHeight="1" x14ac:dyDescent="0.2">
      <c r="B274" s="513"/>
      <c r="C274" s="513"/>
      <c r="D274" s="513"/>
      <c r="E274" s="513"/>
      <c r="F274" s="513"/>
      <c r="G274" s="513"/>
      <c r="H274" s="513"/>
      <c r="I274" s="513"/>
      <c r="J274" s="513"/>
      <c r="K274" s="513"/>
      <c r="L274" s="513"/>
    </row>
    <row r="275" spans="2:12" s="340" customFormat="1" ht="13.5" hidden="1" customHeight="1" x14ac:dyDescent="0.2">
      <c r="B275" s="513"/>
      <c r="C275" s="513"/>
      <c r="D275" s="513"/>
      <c r="E275" s="513"/>
      <c r="F275" s="513"/>
      <c r="G275" s="513"/>
      <c r="H275" s="513"/>
      <c r="I275" s="513"/>
      <c r="J275" s="513"/>
      <c r="K275" s="513"/>
      <c r="L275" s="513"/>
    </row>
    <row r="276" spans="2:12" s="340" customFormat="1" ht="13.5" hidden="1" customHeight="1" x14ac:dyDescent="0.2">
      <c r="B276" s="513"/>
      <c r="C276" s="513"/>
      <c r="D276" s="513"/>
      <c r="E276" s="513"/>
      <c r="F276" s="513"/>
      <c r="G276" s="513"/>
      <c r="H276" s="513"/>
      <c r="I276" s="513"/>
      <c r="J276" s="513"/>
      <c r="K276" s="513"/>
      <c r="L276" s="513"/>
    </row>
    <row r="277" spans="2:12" s="340" customFormat="1" ht="13.5" hidden="1" customHeight="1" x14ac:dyDescent="0.2">
      <c r="B277" s="513"/>
      <c r="C277" s="513"/>
      <c r="D277" s="513"/>
      <c r="E277" s="513"/>
      <c r="F277" s="513"/>
      <c r="G277" s="513"/>
      <c r="H277" s="513"/>
      <c r="I277" s="513"/>
      <c r="J277" s="513"/>
      <c r="K277" s="513"/>
      <c r="L277" s="513"/>
    </row>
    <row r="278" spans="2:12" s="340" customFormat="1" ht="13.5" hidden="1" customHeight="1" x14ac:dyDescent="0.2">
      <c r="B278" s="513"/>
      <c r="C278" s="513"/>
      <c r="D278" s="513"/>
      <c r="E278" s="513"/>
      <c r="F278" s="513"/>
      <c r="G278" s="513"/>
      <c r="H278" s="513"/>
      <c r="I278" s="513"/>
      <c r="J278" s="513"/>
      <c r="K278" s="513"/>
      <c r="L278" s="513"/>
    </row>
    <row r="279" spans="2:12" s="340" customFormat="1" ht="13.5" hidden="1" customHeight="1" x14ac:dyDescent="0.2">
      <c r="B279" s="513"/>
      <c r="C279" s="513"/>
      <c r="D279" s="513"/>
      <c r="E279" s="513"/>
      <c r="F279" s="513"/>
      <c r="G279" s="513"/>
      <c r="H279" s="513"/>
      <c r="I279" s="513"/>
      <c r="J279" s="513"/>
      <c r="K279" s="513"/>
      <c r="L279" s="513"/>
    </row>
    <row r="280" spans="2:12" s="340" customFormat="1" ht="13.5" hidden="1" customHeight="1" x14ac:dyDescent="0.2">
      <c r="B280" s="513"/>
      <c r="C280" s="513"/>
      <c r="D280" s="513"/>
      <c r="E280" s="513"/>
      <c r="F280" s="513"/>
      <c r="G280" s="513"/>
      <c r="H280" s="513"/>
      <c r="I280" s="513"/>
      <c r="J280" s="513"/>
      <c r="K280" s="513"/>
      <c r="L280" s="513"/>
    </row>
    <row r="281" spans="2:12" s="340" customFormat="1" ht="13.5" hidden="1" customHeight="1" x14ac:dyDescent="0.2">
      <c r="B281" s="513"/>
      <c r="C281" s="513"/>
      <c r="D281" s="513"/>
      <c r="E281" s="513"/>
      <c r="F281" s="513"/>
      <c r="G281" s="513"/>
      <c r="H281" s="513"/>
      <c r="I281" s="513"/>
      <c r="J281" s="513"/>
      <c r="K281" s="513"/>
      <c r="L281" s="513"/>
    </row>
    <row r="282" spans="2:12" s="340" customFormat="1" ht="13.5" hidden="1" customHeight="1" x14ac:dyDescent="0.2">
      <c r="B282" s="513"/>
      <c r="C282" s="513"/>
      <c r="D282" s="513"/>
      <c r="E282" s="513"/>
      <c r="F282" s="513"/>
      <c r="G282" s="513"/>
      <c r="H282" s="513"/>
      <c r="I282" s="513"/>
      <c r="J282" s="513"/>
      <c r="K282" s="513"/>
      <c r="L282" s="513"/>
    </row>
    <row r="283" spans="2:12" s="340" customFormat="1" ht="13.5" hidden="1" customHeight="1" x14ac:dyDescent="0.2">
      <c r="B283" s="513"/>
      <c r="C283" s="513"/>
      <c r="D283" s="513"/>
      <c r="E283" s="513"/>
      <c r="F283" s="513"/>
      <c r="G283" s="513"/>
      <c r="H283" s="513"/>
      <c r="I283" s="513"/>
      <c r="J283" s="513"/>
      <c r="K283" s="513"/>
      <c r="L283" s="513"/>
    </row>
    <row r="284" spans="2:12" s="340" customFormat="1" ht="13.5" hidden="1" customHeight="1" x14ac:dyDescent="0.2">
      <c r="B284" s="513"/>
      <c r="C284" s="513"/>
      <c r="D284" s="513"/>
      <c r="E284" s="513"/>
      <c r="F284" s="513"/>
      <c r="G284" s="513"/>
      <c r="H284" s="513"/>
      <c r="I284" s="513"/>
      <c r="J284" s="513"/>
      <c r="K284" s="513"/>
      <c r="L284" s="513"/>
    </row>
    <row r="285" spans="2:12" s="340" customFormat="1" ht="13.5" hidden="1" customHeight="1" x14ac:dyDescent="0.2">
      <c r="B285" s="513"/>
      <c r="C285" s="513"/>
      <c r="D285" s="513"/>
      <c r="E285" s="513"/>
      <c r="F285" s="513"/>
      <c r="G285" s="513"/>
      <c r="H285" s="513"/>
      <c r="I285" s="513"/>
      <c r="J285" s="513"/>
      <c r="K285" s="513"/>
      <c r="L285" s="513"/>
    </row>
    <row r="286" spans="2:12" s="340" customFormat="1" ht="13.5" hidden="1" customHeight="1" x14ac:dyDescent="0.2">
      <c r="B286" s="513"/>
      <c r="C286" s="513"/>
      <c r="D286" s="513"/>
      <c r="E286" s="513"/>
      <c r="F286" s="513"/>
      <c r="G286" s="513"/>
      <c r="H286" s="513"/>
      <c r="I286" s="513"/>
      <c r="J286" s="513"/>
      <c r="K286" s="513"/>
      <c r="L286" s="513"/>
    </row>
    <row r="287" spans="2:12" s="340" customFormat="1" ht="13.5" hidden="1" customHeight="1" x14ac:dyDescent="0.2">
      <c r="B287" s="513"/>
      <c r="C287" s="513"/>
      <c r="D287" s="513"/>
      <c r="E287" s="513"/>
      <c r="F287" s="513"/>
      <c r="G287" s="513"/>
      <c r="H287" s="513"/>
      <c r="I287" s="513"/>
      <c r="J287" s="513"/>
      <c r="K287" s="513"/>
      <c r="L287" s="513"/>
    </row>
    <row r="288" spans="2:12" s="340" customFormat="1" ht="13.5" hidden="1" customHeight="1" x14ac:dyDescent="0.2">
      <c r="B288" s="513"/>
      <c r="C288" s="513"/>
      <c r="D288" s="513"/>
      <c r="E288" s="513"/>
      <c r="F288" s="513"/>
      <c r="G288" s="513"/>
      <c r="H288" s="513"/>
      <c r="I288" s="513"/>
      <c r="J288" s="513"/>
      <c r="K288" s="513"/>
      <c r="L288" s="513"/>
    </row>
    <row r="289" spans="2:12" s="340" customFormat="1" ht="13.5" hidden="1" customHeight="1" x14ac:dyDescent="0.2">
      <c r="B289" s="513"/>
      <c r="C289" s="513"/>
      <c r="D289" s="513"/>
      <c r="E289" s="513"/>
      <c r="F289" s="513"/>
      <c r="G289" s="513"/>
      <c r="H289" s="513"/>
      <c r="I289" s="513"/>
      <c r="J289" s="513"/>
      <c r="K289" s="513"/>
      <c r="L289" s="513"/>
    </row>
    <row r="290" spans="2:12" s="340" customFormat="1" ht="13.5" hidden="1" customHeight="1" x14ac:dyDescent="0.2">
      <c r="B290" s="513"/>
      <c r="C290" s="513"/>
      <c r="D290" s="513"/>
      <c r="E290" s="513"/>
      <c r="F290" s="513"/>
      <c r="G290" s="513"/>
      <c r="H290" s="513"/>
      <c r="I290" s="513"/>
      <c r="J290" s="513"/>
      <c r="K290" s="513"/>
      <c r="L290" s="513"/>
    </row>
    <row r="291" spans="2:12" s="340" customFormat="1" ht="13.5" hidden="1" customHeight="1" x14ac:dyDescent="0.2">
      <c r="B291" s="513"/>
      <c r="C291" s="513"/>
      <c r="D291" s="513"/>
      <c r="E291" s="513"/>
      <c r="F291" s="513"/>
      <c r="G291" s="513"/>
      <c r="H291" s="513"/>
      <c r="I291" s="513"/>
      <c r="J291" s="513"/>
      <c r="K291" s="513"/>
      <c r="L291" s="513"/>
    </row>
    <row r="292" spans="2:12" s="340" customFormat="1" ht="13.5" hidden="1" customHeight="1" x14ac:dyDescent="0.2">
      <c r="B292" s="513"/>
      <c r="C292" s="513"/>
      <c r="D292" s="513"/>
      <c r="E292" s="513"/>
      <c r="F292" s="513"/>
      <c r="G292" s="513"/>
      <c r="H292" s="513"/>
      <c r="I292" s="513"/>
      <c r="J292" s="513"/>
      <c r="K292" s="513"/>
      <c r="L292" s="513"/>
    </row>
    <row r="293" spans="2:12" s="340" customFormat="1" ht="13.5" hidden="1" customHeight="1" x14ac:dyDescent="0.2">
      <c r="B293" s="513"/>
      <c r="C293" s="513"/>
      <c r="D293" s="513"/>
      <c r="E293" s="513"/>
      <c r="F293" s="513"/>
      <c r="G293" s="513"/>
      <c r="H293" s="513"/>
      <c r="I293" s="513"/>
      <c r="J293" s="513"/>
      <c r="K293" s="513"/>
      <c r="L293" s="513"/>
    </row>
    <row r="294" spans="2:12" s="340" customFormat="1" ht="13.5" hidden="1" customHeight="1" x14ac:dyDescent="0.2">
      <c r="B294" s="513"/>
      <c r="C294" s="513"/>
      <c r="D294" s="513"/>
      <c r="E294" s="513"/>
      <c r="F294" s="513"/>
      <c r="G294" s="513"/>
      <c r="H294" s="513"/>
      <c r="I294" s="513"/>
      <c r="J294" s="513"/>
      <c r="K294" s="513"/>
      <c r="L294" s="513"/>
    </row>
    <row r="295" spans="2:12" s="340" customFormat="1" ht="13.5" hidden="1" customHeight="1" x14ac:dyDescent="0.2">
      <c r="B295" s="513"/>
      <c r="C295" s="513"/>
      <c r="D295" s="513"/>
      <c r="E295" s="513"/>
      <c r="F295" s="513"/>
      <c r="G295" s="513"/>
      <c r="H295" s="513"/>
      <c r="I295" s="513"/>
      <c r="J295" s="513"/>
      <c r="K295" s="513"/>
      <c r="L295" s="513"/>
    </row>
    <row r="296" spans="2:12" s="340" customFormat="1" ht="13.5" hidden="1" customHeight="1" x14ac:dyDescent="0.2">
      <c r="B296" s="513"/>
      <c r="C296" s="513"/>
      <c r="D296" s="513"/>
      <c r="E296" s="513"/>
      <c r="F296" s="513"/>
      <c r="G296" s="513"/>
      <c r="H296" s="513"/>
      <c r="I296" s="513"/>
      <c r="J296" s="513"/>
      <c r="K296" s="513"/>
      <c r="L296" s="513"/>
    </row>
    <row r="297" spans="2:12" s="340" customFormat="1" ht="13.5" hidden="1" customHeight="1" x14ac:dyDescent="0.2">
      <c r="B297" s="513"/>
      <c r="C297" s="513"/>
      <c r="D297" s="513"/>
      <c r="E297" s="513"/>
      <c r="F297" s="513"/>
      <c r="G297" s="513"/>
      <c r="H297" s="513"/>
      <c r="I297" s="513"/>
      <c r="J297" s="513"/>
      <c r="K297" s="513"/>
      <c r="L297" s="513"/>
    </row>
    <row r="298" spans="2:12" s="340" customFormat="1" ht="13.5" hidden="1" customHeight="1" x14ac:dyDescent="0.2">
      <c r="B298" s="513"/>
      <c r="C298" s="513"/>
      <c r="D298" s="513"/>
      <c r="E298" s="513"/>
      <c r="F298" s="513"/>
      <c r="G298" s="513"/>
      <c r="H298" s="513"/>
      <c r="I298" s="513"/>
      <c r="J298" s="513"/>
      <c r="K298" s="513"/>
      <c r="L298" s="513"/>
    </row>
    <row r="299" spans="2:12" s="340" customFormat="1" ht="13.5" hidden="1" customHeight="1" x14ac:dyDescent="0.2">
      <c r="B299" s="513"/>
      <c r="C299" s="513"/>
      <c r="D299" s="513"/>
      <c r="E299" s="513"/>
      <c r="F299" s="513"/>
      <c r="G299" s="513"/>
      <c r="H299" s="513"/>
      <c r="I299" s="513"/>
      <c r="J299" s="513"/>
      <c r="K299" s="513"/>
      <c r="L299" s="513"/>
    </row>
    <row r="300" spans="2:12" s="340" customFormat="1" ht="13.5" hidden="1" customHeight="1" x14ac:dyDescent="0.2">
      <c r="B300" s="513"/>
      <c r="C300" s="513"/>
      <c r="D300" s="513"/>
      <c r="E300" s="513"/>
      <c r="F300" s="513"/>
      <c r="G300" s="513"/>
      <c r="H300" s="513"/>
      <c r="I300" s="513"/>
      <c r="J300" s="513"/>
      <c r="K300" s="513"/>
      <c r="L300" s="513"/>
    </row>
    <row r="301" spans="2:12" s="340" customFormat="1" ht="13.5" hidden="1" customHeight="1" x14ac:dyDescent="0.2">
      <c r="B301" s="513"/>
      <c r="C301" s="513"/>
      <c r="D301" s="513"/>
      <c r="E301" s="513"/>
      <c r="F301" s="513"/>
      <c r="G301" s="513"/>
      <c r="H301" s="513"/>
      <c r="I301" s="513"/>
      <c r="J301" s="513"/>
      <c r="K301" s="513"/>
      <c r="L301" s="513"/>
    </row>
    <row r="302" spans="2:12" s="340" customFormat="1" ht="13.5" hidden="1" customHeight="1" x14ac:dyDescent="0.2">
      <c r="B302" s="513"/>
      <c r="C302" s="513"/>
      <c r="D302" s="513"/>
      <c r="E302" s="513"/>
      <c r="F302" s="513"/>
      <c r="G302" s="513"/>
      <c r="H302" s="513"/>
      <c r="I302" s="513"/>
      <c r="J302" s="513"/>
      <c r="K302" s="513"/>
      <c r="L302" s="513"/>
    </row>
    <row r="303" spans="2:12" s="340" customFormat="1" ht="13.5" hidden="1" customHeight="1" x14ac:dyDescent="0.2">
      <c r="B303" s="513"/>
      <c r="C303" s="513"/>
      <c r="D303" s="513"/>
      <c r="E303" s="513"/>
      <c r="F303" s="513"/>
      <c r="G303" s="513"/>
      <c r="H303" s="513"/>
      <c r="I303" s="513"/>
      <c r="J303" s="513"/>
      <c r="K303" s="513"/>
      <c r="L303" s="513"/>
    </row>
    <row r="304" spans="2:12" s="340" customFormat="1" ht="13.5" hidden="1" customHeight="1" x14ac:dyDescent="0.2">
      <c r="B304" s="513"/>
      <c r="C304" s="513"/>
      <c r="D304" s="513"/>
      <c r="E304" s="513"/>
      <c r="F304" s="513"/>
      <c r="G304" s="513"/>
      <c r="H304" s="513"/>
      <c r="I304" s="513"/>
      <c r="J304" s="513"/>
      <c r="K304" s="513"/>
      <c r="L304" s="513"/>
    </row>
    <row r="305" spans="2:12" s="340" customFormat="1" ht="13.5" hidden="1" customHeight="1" x14ac:dyDescent="0.2">
      <c r="B305" s="513"/>
      <c r="C305" s="513"/>
      <c r="D305" s="513"/>
      <c r="E305" s="513"/>
      <c r="F305" s="513"/>
      <c r="G305" s="513"/>
      <c r="H305" s="513"/>
      <c r="I305" s="513"/>
      <c r="J305" s="513"/>
      <c r="K305" s="513"/>
      <c r="L305" s="513"/>
    </row>
    <row r="306" spans="2:12" s="340" customFormat="1" ht="13.5" hidden="1" customHeight="1" x14ac:dyDescent="0.2">
      <c r="B306" s="513"/>
      <c r="C306" s="513"/>
      <c r="D306" s="513"/>
      <c r="E306" s="513"/>
      <c r="F306" s="513"/>
      <c r="G306" s="513"/>
      <c r="H306" s="513"/>
      <c r="I306" s="513"/>
      <c r="J306" s="513"/>
      <c r="K306" s="513"/>
      <c r="L306" s="513"/>
    </row>
    <row r="307" spans="2:12" s="340" customFormat="1" ht="13.5" hidden="1" customHeight="1" x14ac:dyDescent="0.2">
      <c r="B307" s="513"/>
      <c r="C307" s="513"/>
      <c r="D307" s="513"/>
      <c r="E307" s="513"/>
      <c r="F307" s="513"/>
      <c r="G307" s="513"/>
      <c r="H307" s="513"/>
      <c r="I307" s="513"/>
      <c r="J307" s="513"/>
      <c r="K307" s="513"/>
      <c r="L307" s="513"/>
    </row>
    <row r="308" spans="2:12" s="340" customFormat="1" ht="13.5" hidden="1" customHeight="1" x14ac:dyDescent="0.2">
      <c r="B308" s="513"/>
      <c r="C308" s="513"/>
      <c r="D308" s="513"/>
      <c r="E308" s="513"/>
      <c r="F308" s="513"/>
      <c r="G308" s="513"/>
      <c r="H308" s="513"/>
      <c r="I308" s="513"/>
      <c r="J308" s="513"/>
      <c r="K308" s="513"/>
      <c r="L308" s="513"/>
    </row>
    <row r="309" spans="2:12" s="340" customFormat="1" ht="13.5" hidden="1" customHeight="1" x14ac:dyDescent="0.2">
      <c r="B309" s="513"/>
      <c r="C309" s="513"/>
      <c r="D309" s="513"/>
      <c r="E309" s="513"/>
      <c r="F309" s="513"/>
      <c r="G309" s="513"/>
      <c r="H309" s="513"/>
      <c r="I309" s="513"/>
      <c r="J309" s="513"/>
      <c r="K309" s="513"/>
      <c r="L309" s="513"/>
    </row>
    <row r="310" spans="2:12" s="340" customFormat="1" ht="13.5" hidden="1" customHeight="1" x14ac:dyDescent="0.2">
      <c r="B310" s="513"/>
      <c r="C310" s="513"/>
      <c r="D310" s="513"/>
      <c r="E310" s="513"/>
      <c r="F310" s="513"/>
      <c r="G310" s="513"/>
      <c r="H310" s="513"/>
      <c r="I310" s="513"/>
      <c r="J310" s="513"/>
      <c r="K310" s="513"/>
      <c r="L310" s="513"/>
    </row>
    <row r="311" spans="2:12" s="340" customFormat="1" ht="13.5" hidden="1" customHeight="1" x14ac:dyDescent="0.2">
      <c r="B311" s="513"/>
      <c r="C311" s="513"/>
      <c r="D311" s="513"/>
      <c r="E311" s="513"/>
      <c r="F311" s="513"/>
      <c r="G311" s="513"/>
      <c r="H311" s="513"/>
      <c r="I311" s="513"/>
      <c r="J311" s="513"/>
      <c r="K311" s="513"/>
      <c r="L311" s="513"/>
    </row>
    <row r="312" spans="2:12" s="340" customFormat="1" ht="13.5" hidden="1" customHeight="1" x14ac:dyDescent="0.2">
      <c r="B312" s="513"/>
      <c r="C312" s="513"/>
      <c r="D312" s="513"/>
      <c r="E312" s="513"/>
      <c r="F312" s="513"/>
      <c r="G312" s="513"/>
      <c r="H312" s="513"/>
      <c r="I312" s="513"/>
      <c r="J312" s="513"/>
      <c r="K312" s="513"/>
      <c r="L312" s="513"/>
    </row>
    <row r="313" spans="2:12" s="340" customFormat="1" ht="13.5" hidden="1" customHeight="1" x14ac:dyDescent="0.2">
      <c r="B313" s="513"/>
      <c r="C313" s="513"/>
      <c r="D313" s="513"/>
      <c r="E313" s="513"/>
      <c r="F313" s="513"/>
      <c r="G313" s="513"/>
      <c r="H313" s="513"/>
      <c r="I313" s="513"/>
      <c r="J313" s="513"/>
      <c r="K313" s="513"/>
      <c r="L313" s="513"/>
    </row>
    <row r="314" spans="2:12" s="340" customFormat="1" ht="13.5" hidden="1" customHeight="1" x14ac:dyDescent="0.2">
      <c r="B314" s="513"/>
      <c r="C314" s="513"/>
      <c r="D314" s="513"/>
      <c r="E314" s="513"/>
      <c r="F314" s="513"/>
      <c r="G314" s="513"/>
      <c r="H314" s="513"/>
      <c r="I314" s="513"/>
      <c r="J314" s="513"/>
      <c r="K314" s="513"/>
      <c r="L314" s="513"/>
    </row>
    <row r="315" spans="2:12" s="340" customFormat="1" ht="13.5" hidden="1" customHeight="1" x14ac:dyDescent="0.2">
      <c r="B315" s="513"/>
      <c r="C315" s="513"/>
      <c r="D315" s="513"/>
      <c r="E315" s="513"/>
      <c r="F315" s="513"/>
      <c r="G315" s="513"/>
      <c r="H315" s="513"/>
      <c r="I315" s="513"/>
      <c r="J315" s="513"/>
      <c r="K315" s="513"/>
      <c r="L315" s="513"/>
    </row>
    <row r="316" spans="2:12" s="340" customFormat="1" ht="13.5" hidden="1" customHeight="1" x14ac:dyDescent="0.2">
      <c r="B316" s="513"/>
      <c r="C316" s="513"/>
      <c r="D316" s="513"/>
      <c r="E316" s="513"/>
      <c r="F316" s="513"/>
      <c r="G316" s="513"/>
      <c r="H316" s="513"/>
      <c r="I316" s="513"/>
      <c r="J316" s="513"/>
      <c r="K316" s="513"/>
      <c r="L316" s="513"/>
    </row>
    <row r="317" spans="2:12" s="340" customFormat="1" ht="13.5" hidden="1" customHeight="1" x14ac:dyDescent="0.2">
      <c r="B317" s="513"/>
      <c r="C317" s="513"/>
      <c r="D317" s="513"/>
      <c r="E317" s="513"/>
      <c r="F317" s="513"/>
      <c r="G317" s="513"/>
      <c r="H317" s="513"/>
      <c r="I317" s="513"/>
      <c r="J317" s="513"/>
      <c r="K317" s="513"/>
      <c r="L317" s="513"/>
    </row>
    <row r="318" spans="2:12" s="340" customFormat="1" ht="13.5" hidden="1" customHeight="1" x14ac:dyDescent="0.2">
      <c r="B318" s="513"/>
      <c r="C318" s="513"/>
      <c r="D318" s="513"/>
      <c r="E318" s="513"/>
      <c r="F318" s="513"/>
      <c r="G318" s="513"/>
      <c r="H318" s="513"/>
      <c r="I318" s="513"/>
      <c r="J318" s="513"/>
      <c r="K318" s="513"/>
      <c r="L318" s="513"/>
    </row>
    <row r="319" spans="2:12" s="340" customFormat="1" ht="13.5" hidden="1" customHeight="1" x14ac:dyDescent="0.2">
      <c r="B319" s="513"/>
      <c r="C319" s="513"/>
      <c r="D319" s="513"/>
      <c r="E319" s="513"/>
      <c r="F319" s="513"/>
      <c r="G319" s="513"/>
      <c r="H319" s="513"/>
      <c r="I319" s="513"/>
      <c r="J319" s="513"/>
      <c r="K319" s="513"/>
      <c r="L319" s="513"/>
    </row>
    <row r="320" spans="2:12" s="340" customFormat="1" ht="13.5" hidden="1" customHeight="1" x14ac:dyDescent="0.2">
      <c r="B320" s="513"/>
      <c r="C320" s="513"/>
      <c r="D320" s="513"/>
      <c r="E320" s="513"/>
      <c r="F320" s="513"/>
      <c r="G320" s="513"/>
      <c r="H320" s="513"/>
      <c r="I320" s="513"/>
      <c r="J320" s="513"/>
      <c r="K320" s="513"/>
      <c r="L320" s="513"/>
    </row>
    <row r="321" spans="2:12" s="340" customFormat="1" ht="13.5" hidden="1" customHeight="1" x14ac:dyDescent="0.2">
      <c r="B321" s="513"/>
      <c r="C321" s="513"/>
      <c r="D321" s="513"/>
      <c r="E321" s="513"/>
      <c r="F321" s="513"/>
      <c r="G321" s="513"/>
      <c r="H321" s="513"/>
      <c r="I321" s="513"/>
      <c r="J321" s="513"/>
      <c r="K321" s="513"/>
      <c r="L321" s="513"/>
    </row>
    <row r="322" spans="2:12" s="340" customFormat="1" ht="13.5" hidden="1" customHeight="1" x14ac:dyDescent="0.2">
      <c r="B322" s="513"/>
      <c r="C322" s="513"/>
      <c r="D322" s="513"/>
      <c r="E322" s="513"/>
      <c r="F322" s="513"/>
      <c r="G322" s="513"/>
      <c r="H322" s="513"/>
      <c r="I322" s="513"/>
      <c r="J322" s="513"/>
      <c r="K322" s="513"/>
      <c r="L322" s="513"/>
    </row>
    <row r="323" spans="2:12" s="340" customFormat="1" ht="13.5" hidden="1" customHeight="1" x14ac:dyDescent="0.2">
      <c r="B323" s="513"/>
      <c r="C323" s="513"/>
      <c r="D323" s="513"/>
      <c r="E323" s="513"/>
      <c r="F323" s="513"/>
      <c r="G323" s="513"/>
      <c r="H323" s="513"/>
      <c r="I323" s="513"/>
      <c r="J323" s="513"/>
      <c r="K323" s="513"/>
      <c r="L323" s="513"/>
    </row>
    <row r="324" spans="2:12" s="340" customFormat="1" ht="13.5" hidden="1" customHeight="1" x14ac:dyDescent="0.2">
      <c r="B324" s="513"/>
      <c r="C324" s="513"/>
      <c r="D324" s="513"/>
      <c r="E324" s="513"/>
      <c r="F324" s="513"/>
      <c r="G324" s="513"/>
      <c r="H324" s="513"/>
      <c r="I324" s="513"/>
      <c r="J324" s="513"/>
      <c r="K324" s="513"/>
      <c r="L324" s="513"/>
    </row>
    <row r="325" spans="2:12" s="340" customFormat="1" ht="13.5" hidden="1" customHeight="1" x14ac:dyDescent="0.2">
      <c r="B325" s="513"/>
      <c r="C325" s="513"/>
      <c r="D325" s="513"/>
      <c r="E325" s="513"/>
      <c r="F325" s="513"/>
      <c r="G325" s="513"/>
      <c r="H325" s="513"/>
      <c r="I325" s="513"/>
      <c r="J325" s="513"/>
      <c r="K325" s="513"/>
      <c r="L325" s="513"/>
    </row>
    <row r="326" spans="2:12" s="340" customFormat="1" ht="13.5" hidden="1" customHeight="1" x14ac:dyDescent="0.2">
      <c r="B326" s="513"/>
      <c r="C326" s="513"/>
      <c r="D326" s="513"/>
      <c r="E326" s="513"/>
      <c r="F326" s="513"/>
      <c r="G326" s="513"/>
      <c r="H326" s="513"/>
      <c r="I326" s="513"/>
      <c r="J326" s="513"/>
      <c r="K326" s="513"/>
      <c r="L326" s="513"/>
    </row>
    <row r="327" spans="2:12" s="340" customFormat="1" ht="13.5" hidden="1" customHeight="1" x14ac:dyDescent="0.2">
      <c r="B327" s="513"/>
      <c r="C327" s="513"/>
      <c r="D327" s="513"/>
      <c r="E327" s="513"/>
      <c r="F327" s="513"/>
      <c r="G327" s="513"/>
      <c r="H327" s="513"/>
      <c r="I327" s="513"/>
      <c r="J327" s="513"/>
      <c r="K327" s="513"/>
      <c r="L327" s="513"/>
    </row>
    <row r="328" spans="2:12" s="340" customFormat="1" ht="13.5" hidden="1" customHeight="1" x14ac:dyDescent="0.2">
      <c r="B328" s="513"/>
      <c r="C328" s="513"/>
      <c r="D328" s="513"/>
      <c r="E328" s="513"/>
      <c r="F328" s="513"/>
      <c r="G328" s="513"/>
      <c r="H328" s="513"/>
      <c r="I328" s="513"/>
      <c r="J328" s="513"/>
      <c r="K328" s="513"/>
      <c r="L328" s="513"/>
    </row>
    <row r="329" spans="2:12" s="340" customFormat="1" ht="13.5" hidden="1" customHeight="1" x14ac:dyDescent="0.2">
      <c r="B329" s="513"/>
      <c r="C329" s="513"/>
      <c r="D329" s="513"/>
      <c r="E329" s="513"/>
      <c r="F329" s="513"/>
      <c r="G329" s="513"/>
      <c r="H329" s="513"/>
      <c r="I329" s="513"/>
      <c r="J329" s="513"/>
      <c r="K329" s="513"/>
      <c r="L329" s="513"/>
    </row>
    <row r="330" spans="2:12" s="340" customFormat="1" ht="13.5" hidden="1" customHeight="1" x14ac:dyDescent="0.2">
      <c r="B330" s="513"/>
      <c r="C330" s="513"/>
      <c r="D330" s="513"/>
      <c r="E330" s="513"/>
      <c r="F330" s="513"/>
      <c r="G330" s="513"/>
      <c r="H330" s="513"/>
      <c r="I330" s="513"/>
      <c r="J330" s="513"/>
      <c r="K330" s="513"/>
      <c r="L330" s="513"/>
    </row>
    <row r="331" spans="2:12" s="340" customFormat="1" ht="13.5" hidden="1" customHeight="1" x14ac:dyDescent="0.2">
      <c r="B331" s="513"/>
      <c r="C331" s="513"/>
      <c r="D331" s="513"/>
      <c r="E331" s="513"/>
      <c r="F331" s="513"/>
      <c r="G331" s="513"/>
      <c r="H331" s="513"/>
      <c r="I331" s="513"/>
      <c r="J331" s="513"/>
      <c r="K331" s="513"/>
      <c r="L331" s="513"/>
    </row>
    <row r="332" spans="2:12" s="340" customFormat="1" ht="13.5" hidden="1" customHeight="1" x14ac:dyDescent="0.2">
      <c r="B332" s="513"/>
      <c r="C332" s="513"/>
      <c r="D332" s="513"/>
      <c r="E332" s="513"/>
      <c r="F332" s="513"/>
      <c r="G332" s="513"/>
      <c r="H332" s="513"/>
      <c r="I332" s="513"/>
      <c r="J332" s="513"/>
      <c r="K332" s="513"/>
      <c r="L332" s="513"/>
    </row>
    <row r="333" spans="2:12" s="340" customFormat="1" ht="13.5" hidden="1" customHeight="1" x14ac:dyDescent="0.2">
      <c r="B333" s="513"/>
      <c r="C333" s="513"/>
      <c r="D333" s="513"/>
      <c r="E333" s="513"/>
      <c r="F333" s="513"/>
      <c r="G333" s="513"/>
      <c r="H333" s="513"/>
      <c r="I333" s="513"/>
      <c r="J333" s="513"/>
      <c r="K333" s="513"/>
      <c r="L333" s="513"/>
    </row>
    <row r="334" spans="2:12" s="340" customFormat="1" ht="13.5" hidden="1" customHeight="1" x14ac:dyDescent="0.2">
      <c r="B334" s="513"/>
      <c r="C334" s="513"/>
      <c r="D334" s="513"/>
      <c r="E334" s="513"/>
      <c r="F334" s="513"/>
      <c r="G334" s="513"/>
      <c r="H334" s="513"/>
      <c r="I334" s="513"/>
      <c r="J334" s="513"/>
      <c r="K334" s="513"/>
      <c r="L334" s="513"/>
    </row>
    <row r="335" spans="2:12" s="340" customFormat="1" ht="13.5" hidden="1" customHeight="1" x14ac:dyDescent="0.2">
      <c r="B335" s="513"/>
      <c r="C335" s="513"/>
      <c r="D335" s="513"/>
      <c r="E335" s="513"/>
      <c r="F335" s="513"/>
      <c r="G335" s="513"/>
      <c r="H335" s="513"/>
      <c r="I335" s="513"/>
      <c r="J335" s="513"/>
      <c r="K335" s="513"/>
      <c r="L335" s="513"/>
    </row>
    <row r="336" spans="2:12" s="340" customFormat="1" ht="13.5" hidden="1" customHeight="1" x14ac:dyDescent="0.2">
      <c r="B336" s="513"/>
      <c r="C336" s="513"/>
      <c r="D336" s="513"/>
      <c r="E336" s="513"/>
      <c r="F336" s="513"/>
      <c r="G336" s="513"/>
      <c r="H336" s="513"/>
      <c r="I336" s="513"/>
      <c r="J336" s="513"/>
      <c r="K336" s="513"/>
      <c r="L336" s="513"/>
    </row>
    <row r="337" spans="2:12" s="340" customFormat="1" ht="13.5" hidden="1" customHeight="1" x14ac:dyDescent="0.2">
      <c r="B337" s="513"/>
      <c r="C337" s="513"/>
      <c r="D337" s="513"/>
      <c r="E337" s="513"/>
      <c r="F337" s="513"/>
      <c r="G337" s="513"/>
      <c r="H337" s="513"/>
      <c r="I337" s="513"/>
      <c r="J337" s="513"/>
      <c r="K337" s="513"/>
      <c r="L337" s="513"/>
    </row>
    <row r="338" spans="2:12" s="340" customFormat="1" ht="13.5" hidden="1" customHeight="1" x14ac:dyDescent="0.2">
      <c r="B338" s="513"/>
      <c r="C338" s="513"/>
      <c r="D338" s="513"/>
      <c r="E338" s="513"/>
      <c r="F338" s="513"/>
      <c r="G338" s="513"/>
      <c r="H338" s="513"/>
      <c r="I338" s="513"/>
      <c r="J338" s="513"/>
      <c r="K338" s="513"/>
      <c r="L338" s="513"/>
    </row>
    <row r="339" spans="2:12" s="340" customFormat="1" ht="13.5" hidden="1" customHeight="1" x14ac:dyDescent="0.2">
      <c r="B339" s="513"/>
      <c r="C339" s="513"/>
      <c r="D339" s="513"/>
      <c r="E339" s="513"/>
      <c r="F339" s="513"/>
      <c r="G339" s="513"/>
      <c r="H339" s="513"/>
      <c r="I339" s="513"/>
      <c r="J339" s="513"/>
      <c r="K339" s="513"/>
      <c r="L339" s="513"/>
    </row>
    <row r="340" spans="2:12" s="340" customFormat="1" ht="13.5" hidden="1" customHeight="1" x14ac:dyDescent="0.2">
      <c r="B340" s="513"/>
      <c r="C340" s="513"/>
      <c r="D340" s="513"/>
      <c r="E340" s="513"/>
      <c r="F340" s="513"/>
      <c r="G340" s="513"/>
      <c r="H340" s="513"/>
      <c r="I340" s="513"/>
      <c r="J340" s="513"/>
      <c r="K340" s="513"/>
      <c r="L340" s="513"/>
    </row>
    <row r="341" spans="2:12" s="340" customFormat="1" ht="13.5" hidden="1" customHeight="1" x14ac:dyDescent="0.2">
      <c r="B341" s="513"/>
      <c r="C341" s="513"/>
      <c r="D341" s="513"/>
      <c r="E341" s="513"/>
      <c r="F341" s="513"/>
      <c r="G341" s="513"/>
      <c r="H341" s="513"/>
      <c r="I341" s="513"/>
      <c r="J341" s="513"/>
      <c r="K341" s="513"/>
      <c r="L341" s="513"/>
    </row>
    <row r="342" spans="2:12" s="340" customFormat="1" ht="13.5" hidden="1" customHeight="1" x14ac:dyDescent="0.2">
      <c r="B342" s="513"/>
      <c r="C342" s="513"/>
      <c r="D342" s="513"/>
      <c r="E342" s="513"/>
      <c r="F342" s="513"/>
      <c r="G342" s="513"/>
      <c r="H342" s="513"/>
      <c r="I342" s="513"/>
      <c r="J342" s="513"/>
      <c r="K342" s="513"/>
      <c r="L342" s="513"/>
    </row>
    <row r="343" spans="2:12" s="340" customFormat="1" ht="13.5" hidden="1" customHeight="1" x14ac:dyDescent="0.2">
      <c r="B343" s="513"/>
      <c r="C343" s="513"/>
      <c r="D343" s="513"/>
      <c r="E343" s="513"/>
      <c r="F343" s="513"/>
      <c r="G343" s="513"/>
      <c r="H343" s="513"/>
      <c r="I343" s="513"/>
      <c r="J343" s="513"/>
      <c r="K343" s="513"/>
      <c r="L343" s="513"/>
    </row>
    <row r="344" spans="2:12" s="340" customFormat="1" ht="13.5" hidden="1" customHeight="1" x14ac:dyDescent="0.2">
      <c r="B344" s="513"/>
      <c r="C344" s="513"/>
      <c r="D344" s="513"/>
      <c r="E344" s="513"/>
      <c r="F344" s="513"/>
      <c r="G344" s="513"/>
      <c r="H344" s="513"/>
      <c r="I344" s="513"/>
      <c r="J344" s="513"/>
      <c r="K344" s="513"/>
      <c r="L344" s="513"/>
    </row>
    <row r="345" spans="2:12" s="340" customFormat="1" ht="13.5" hidden="1" customHeight="1" x14ac:dyDescent="0.2">
      <c r="B345" s="513"/>
      <c r="C345" s="513"/>
      <c r="D345" s="513"/>
      <c r="E345" s="513"/>
      <c r="F345" s="513"/>
      <c r="G345" s="513"/>
      <c r="H345" s="513"/>
      <c r="I345" s="513"/>
      <c r="J345" s="513"/>
      <c r="K345" s="513"/>
      <c r="L345" s="513"/>
    </row>
    <row r="346" spans="2:12" s="340" customFormat="1" ht="13.5" hidden="1" customHeight="1" x14ac:dyDescent="0.2">
      <c r="B346" s="513"/>
      <c r="C346" s="513"/>
      <c r="D346" s="513"/>
      <c r="E346" s="513"/>
      <c r="F346" s="513"/>
      <c r="G346" s="513"/>
      <c r="H346" s="513"/>
      <c r="I346" s="513"/>
      <c r="J346" s="513"/>
      <c r="K346" s="513"/>
      <c r="L346" s="513"/>
    </row>
    <row r="347" spans="2:12" s="340" customFormat="1" ht="13.5" hidden="1" customHeight="1" x14ac:dyDescent="0.2">
      <c r="B347" s="513"/>
      <c r="C347" s="513"/>
      <c r="D347" s="513"/>
      <c r="E347" s="513"/>
      <c r="F347" s="513"/>
      <c r="G347" s="513"/>
      <c r="H347" s="513"/>
      <c r="I347" s="513"/>
      <c r="J347" s="513"/>
      <c r="K347" s="513"/>
      <c r="L347" s="513"/>
    </row>
    <row r="348" spans="2:12" s="340" customFormat="1" ht="13.5" hidden="1" customHeight="1" x14ac:dyDescent="0.2">
      <c r="B348" s="513"/>
      <c r="C348" s="513"/>
      <c r="D348" s="513"/>
      <c r="E348" s="513"/>
      <c r="F348" s="513"/>
      <c r="G348" s="513"/>
      <c r="H348" s="513"/>
      <c r="I348" s="513"/>
      <c r="J348" s="513"/>
      <c r="K348" s="513"/>
      <c r="L348" s="513"/>
    </row>
    <row r="349" spans="2:12" s="340" customFormat="1" ht="13.5" hidden="1" customHeight="1" x14ac:dyDescent="0.2">
      <c r="B349" s="513"/>
      <c r="C349" s="513"/>
      <c r="D349" s="513"/>
      <c r="E349" s="513"/>
      <c r="F349" s="513"/>
      <c r="G349" s="513"/>
      <c r="H349" s="513"/>
      <c r="I349" s="513"/>
      <c r="J349" s="513"/>
      <c r="K349" s="513"/>
      <c r="L349" s="513"/>
    </row>
    <row r="350" spans="2:12" s="340" customFormat="1" ht="13.5" hidden="1" customHeight="1" x14ac:dyDescent="0.2">
      <c r="B350" s="513"/>
      <c r="C350" s="513"/>
      <c r="D350" s="513"/>
      <c r="E350" s="513"/>
      <c r="F350" s="513"/>
      <c r="G350" s="513"/>
      <c r="H350" s="513"/>
      <c r="I350" s="513"/>
      <c r="J350" s="513"/>
      <c r="K350" s="513"/>
      <c r="L350" s="513"/>
    </row>
    <row r="351" spans="2:12" s="340" customFormat="1" ht="13.5" hidden="1" customHeight="1" x14ac:dyDescent="0.2">
      <c r="B351" s="513"/>
      <c r="C351" s="513"/>
      <c r="D351" s="513"/>
      <c r="E351" s="513"/>
      <c r="F351" s="513"/>
      <c r="G351" s="513"/>
      <c r="H351" s="513"/>
      <c r="I351" s="513"/>
      <c r="J351" s="513"/>
      <c r="K351" s="513"/>
      <c r="L351" s="513"/>
    </row>
    <row r="352" spans="2:12" s="340" customFormat="1" ht="13.5" hidden="1" customHeight="1" x14ac:dyDescent="0.2">
      <c r="B352" s="513"/>
      <c r="C352" s="513"/>
      <c r="D352" s="513"/>
      <c r="E352" s="513"/>
      <c r="F352" s="513"/>
      <c r="G352" s="513"/>
      <c r="H352" s="513"/>
      <c r="I352" s="513"/>
      <c r="J352" s="513"/>
      <c r="K352" s="513"/>
      <c r="L352" s="513"/>
    </row>
    <row r="353" spans="2:12" s="340" customFormat="1" ht="13.5" hidden="1" customHeight="1" x14ac:dyDescent="0.2">
      <c r="B353" s="513"/>
      <c r="C353" s="513"/>
      <c r="D353" s="513"/>
      <c r="E353" s="513"/>
      <c r="F353" s="513"/>
      <c r="G353" s="513"/>
      <c r="H353" s="513"/>
      <c r="I353" s="513"/>
      <c r="J353" s="513"/>
      <c r="K353" s="513"/>
      <c r="L353" s="513"/>
    </row>
    <row r="354" spans="2:12" s="340" customFormat="1" ht="13.5" hidden="1" customHeight="1" x14ac:dyDescent="0.2">
      <c r="B354" s="513"/>
      <c r="C354" s="513"/>
      <c r="D354" s="513"/>
      <c r="E354" s="513"/>
      <c r="F354" s="513"/>
      <c r="G354" s="513"/>
      <c r="H354" s="513"/>
      <c r="I354" s="513"/>
      <c r="J354" s="513"/>
      <c r="K354" s="513"/>
      <c r="L354" s="513"/>
    </row>
    <row r="355" spans="2:12" s="340" customFormat="1" ht="13.5" hidden="1" customHeight="1" x14ac:dyDescent="0.2">
      <c r="B355" s="513"/>
      <c r="C355" s="513"/>
      <c r="D355" s="513"/>
      <c r="E355" s="513"/>
      <c r="F355" s="513"/>
      <c r="G355" s="513"/>
      <c r="H355" s="513"/>
      <c r="I355" s="513"/>
      <c r="J355" s="513"/>
      <c r="K355" s="513"/>
      <c r="L355" s="513"/>
    </row>
    <row r="356" spans="2:12" s="340" customFormat="1" ht="13.5" hidden="1" customHeight="1" x14ac:dyDescent="0.2">
      <c r="B356" s="513"/>
      <c r="C356" s="513"/>
      <c r="D356" s="513"/>
      <c r="E356" s="513"/>
      <c r="F356" s="513"/>
      <c r="G356" s="513"/>
      <c r="H356" s="513"/>
      <c r="I356" s="513"/>
      <c r="J356" s="513"/>
      <c r="K356" s="513"/>
      <c r="L356" s="513"/>
    </row>
    <row r="357" spans="2:12" s="340" customFormat="1" ht="13.5" hidden="1" customHeight="1" x14ac:dyDescent="0.2">
      <c r="B357" s="513"/>
      <c r="C357" s="513"/>
      <c r="D357" s="513"/>
      <c r="E357" s="513"/>
      <c r="F357" s="513"/>
      <c r="G357" s="513"/>
      <c r="H357" s="513"/>
      <c r="I357" s="513"/>
      <c r="J357" s="513"/>
      <c r="K357" s="513"/>
      <c r="L357" s="513"/>
    </row>
    <row r="358" spans="2:12" s="340" customFormat="1" ht="13.5" hidden="1" customHeight="1" x14ac:dyDescent="0.2">
      <c r="B358" s="513"/>
      <c r="C358" s="513"/>
      <c r="D358" s="513"/>
      <c r="E358" s="513"/>
      <c r="F358" s="513"/>
      <c r="G358" s="513"/>
      <c r="H358" s="513"/>
      <c r="I358" s="513"/>
      <c r="J358" s="513"/>
      <c r="K358" s="513"/>
      <c r="L358" s="513"/>
    </row>
    <row r="359" spans="2:12" s="340" customFormat="1" ht="13.5" hidden="1" customHeight="1" x14ac:dyDescent="0.2">
      <c r="B359" s="513"/>
      <c r="C359" s="513"/>
      <c r="D359" s="513"/>
      <c r="E359" s="513"/>
      <c r="F359" s="513"/>
      <c r="G359" s="513"/>
      <c r="H359" s="513"/>
      <c r="I359" s="513"/>
      <c r="J359" s="513"/>
      <c r="K359" s="513"/>
      <c r="L359" s="513"/>
    </row>
    <row r="360" spans="2:12" s="340" customFormat="1" ht="13.5" hidden="1" customHeight="1" x14ac:dyDescent="0.2">
      <c r="B360" s="513"/>
      <c r="C360" s="513"/>
      <c r="D360" s="513"/>
      <c r="E360" s="513"/>
      <c r="F360" s="513"/>
      <c r="G360" s="513"/>
      <c r="H360" s="513"/>
      <c r="I360" s="513"/>
      <c r="J360" s="513"/>
      <c r="K360" s="513"/>
      <c r="L360" s="513"/>
    </row>
    <row r="361" spans="2:12" s="340" customFormat="1" ht="13.5" hidden="1" customHeight="1" x14ac:dyDescent="0.2">
      <c r="B361" s="513"/>
      <c r="C361" s="513"/>
      <c r="D361" s="513"/>
      <c r="E361" s="513"/>
      <c r="F361" s="513"/>
      <c r="G361" s="513"/>
      <c r="H361" s="513"/>
      <c r="I361" s="513"/>
      <c r="J361" s="513"/>
      <c r="K361" s="513"/>
      <c r="L361" s="513"/>
    </row>
    <row r="362" spans="2:12" s="340" customFormat="1" ht="13.5" hidden="1" customHeight="1" x14ac:dyDescent="0.2">
      <c r="B362" s="513"/>
      <c r="C362" s="513"/>
      <c r="D362" s="513"/>
      <c r="E362" s="513"/>
      <c r="F362" s="513"/>
      <c r="G362" s="513"/>
      <c r="H362" s="513"/>
      <c r="I362" s="513"/>
      <c r="J362" s="513"/>
      <c r="K362" s="513"/>
      <c r="L362" s="513"/>
    </row>
    <row r="363" spans="2:12" s="340" customFormat="1" ht="13.5" hidden="1" customHeight="1" x14ac:dyDescent="0.2">
      <c r="B363" s="513"/>
      <c r="C363" s="513"/>
      <c r="D363" s="513"/>
      <c r="E363" s="513"/>
      <c r="F363" s="513"/>
      <c r="G363" s="513"/>
      <c r="H363" s="513"/>
      <c r="I363" s="513"/>
      <c r="J363" s="513"/>
      <c r="K363" s="513"/>
      <c r="L363" s="513"/>
    </row>
    <row r="364" spans="2:12" s="340" customFormat="1" ht="13.5" hidden="1" customHeight="1" x14ac:dyDescent="0.2">
      <c r="B364" s="513"/>
      <c r="C364" s="513"/>
      <c r="D364" s="513"/>
      <c r="E364" s="513"/>
      <c r="F364" s="513"/>
      <c r="G364" s="513"/>
      <c r="H364" s="513"/>
      <c r="I364" s="513"/>
      <c r="J364" s="513"/>
      <c r="K364" s="513"/>
      <c r="L364" s="513"/>
    </row>
    <row r="365" spans="2:12" s="340" customFormat="1" ht="13.5" hidden="1" customHeight="1" x14ac:dyDescent="0.2">
      <c r="B365" s="513"/>
      <c r="C365" s="513"/>
      <c r="D365" s="513"/>
      <c r="E365" s="513"/>
      <c r="F365" s="513"/>
      <c r="G365" s="513"/>
      <c r="H365" s="513"/>
      <c r="I365" s="513"/>
      <c r="J365" s="513"/>
      <c r="K365" s="513"/>
      <c r="L365" s="513"/>
    </row>
    <row r="366" spans="2:12" s="340" customFormat="1" ht="13.5" hidden="1" customHeight="1" x14ac:dyDescent="0.2">
      <c r="B366" s="513"/>
      <c r="C366" s="513"/>
      <c r="D366" s="513"/>
      <c r="E366" s="513"/>
      <c r="F366" s="513"/>
      <c r="G366" s="513"/>
      <c r="H366" s="513"/>
      <c r="I366" s="513"/>
      <c r="J366" s="513"/>
      <c r="K366" s="513"/>
      <c r="L366" s="513"/>
    </row>
    <row r="367" spans="2:12" s="340" customFormat="1" ht="13.5" hidden="1" customHeight="1" x14ac:dyDescent="0.2">
      <c r="B367" s="513"/>
      <c r="C367" s="513"/>
      <c r="D367" s="513"/>
      <c r="E367" s="513"/>
      <c r="F367" s="513"/>
      <c r="G367" s="513"/>
      <c r="H367" s="513"/>
      <c r="I367" s="513"/>
      <c r="J367" s="513"/>
      <c r="K367" s="513"/>
      <c r="L367" s="513"/>
    </row>
    <row r="368" spans="2:12" s="340" customFormat="1" ht="13.5" hidden="1" customHeight="1" x14ac:dyDescent="0.2">
      <c r="B368" s="513"/>
      <c r="C368" s="513"/>
      <c r="D368" s="513"/>
      <c r="E368" s="513"/>
      <c r="F368" s="513"/>
      <c r="G368" s="513"/>
      <c r="H368" s="513"/>
      <c r="I368" s="513"/>
      <c r="J368" s="513"/>
      <c r="K368" s="513"/>
      <c r="L368" s="513"/>
    </row>
    <row r="369" spans="2:12" s="340" customFormat="1" ht="13.5" hidden="1" customHeight="1" x14ac:dyDescent="0.2">
      <c r="B369" s="513"/>
      <c r="C369" s="513"/>
      <c r="D369" s="513"/>
      <c r="E369" s="513"/>
      <c r="F369" s="513"/>
      <c r="G369" s="513"/>
      <c r="H369" s="513"/>
      <c r="I369" s="513"/>
      <c r="J369" s="513"/>
      <c r="K369" s="513"/>
      <c r="L369" s="513"/>
    </row>
    <row r="370" spans="2:12" s="340" customFormat="1" ht="13.5" hidden="1" customHeight="1" x14ac:dyDescent="0.2">
      <c r="B370" s="513"/>
      <c r="C370" s="513"/>
      <c r="D370" s="513"/>
      <c r="E370" s="513"/>
      <c r="F370" s="513"/>
      <c r="G370" s="513"/>
      <c r="H370" s="513"/>
      <c r="I370" s="513"/>
      <c r="J370" s="513"/>
      <c r="K370" s="513"/>
      <c r="L370" s="513"/>
    </row>
    <row r="371" spans="2:12" s="340" customFormat="1" ht="13.5" hidden="1" customHeight="1" x14ac:dyDescent="0.2">
      <c r="B371" s="513"/>
      <c r="C371" s="513"/>
      <c r="D371" s="513"/>
      <c r="E371" s="513"/>
      <c r="F371" s="513"/>
      <c r="G371" s="513"/>
      <c r="H371" s="513"/>
      <c r="I371" s="513"/>
      <c r="J371" s="513"/>
      <c r="K371" s="513"/>
      <c r="L371" s="513"/>
    </row>
    <row r="372" spans="2:12" s="340" customFormat="1" ht="13.5" hidden="1" customHeight="1" x14ac:dyDescent="0.2">
      <c r="B372" s="513"/>
      <c r="C372" s="513"/>
      <c r="D372" s="513"/>
      <c r="E372" s="513"/>
      <c r="F372" s="513"/>
      <c r="G372" s="513"/>
      <c r="H372" s="513"/>
      <c r="I372" s="513"/>
      <c r="J372" s="513"/>
      <c r="K372" s="513"/>
      <c r="L372" s="513"/>
    </row>
    <row r="373" spans="2:12" s="340" customFormat="1" ht="13.5" hidden="1" customHeight="1" x14ac:dyDescent="0.2">
      <c r="B373" s="513"/>
      <c r="C373" s="513"/>
      <c r="D373" s="513"/>
      <c r="E373" s="513"/>
      <c r="F373" s="513"/>
      <c r="G373" s="513"/>
      <c r="H373" s="513"/>
      <c r="I373" s="513"/>
      <c r="J373" s="513"/>
      <c r="K373" s="513"/>
      <c r="L373" s="513"/>
    </row>
    <row r="374" spans="2:12" s="340" customFormat="1" ht="13.5" hidden="1" customHeight="1" x14ac:dyDescent="0.2">
      <c r="B374" s="513"/>
      <c r="C374" s="513"/>
      <c r="D374" s="513"/>
      <c r="E374" s="513"/>
      <c r="F374" s="513"/>
      <c r="G374" s="513"/>
      <c r="H374" s="513"/>
      <c r="I374" s="513"/>
      <c r="J374" s="513"/>
      <c r="K374" s="513"/>
      <c r="L374" s="513"/>
    </row>
    <row r="375" spans="2:12" s="340" customFormat="1" ht="13.5" hidden="1" customHeight="1" x14ac:dyDescent="0.2">
      <c r="B375" s="513"/>
      <c r="C375" s="513"/>
      <c r="D375" s="513"/>
      <c r="E375" s="513"/>
      <c r="F375" s="513"/>
      <c r="G375" s="513"/>
      <c r="H375" s="513"/>
      <c r="I375" s="513"/>
      <c r="J375" s="513"/>
      <c r="K375" s="513"/>
      <c r="L375" s="513"/>
    </row>
    <row r="376" spans="2:12" s="340" customFormat="1" ht="13.5" hidden="1" customHeight="1" x14ac:dyDescent="0.2">
      <c r="B376" s="513"/>
      <c r="C376" s="513"/>
      <c r="D376" s="513"/>
      <c r="E376" s="513"/>
      <c r="F376" s="513"/>
      <c r="G376" s="513"/>
      <c r="H376" s="513"/>
      <c r="I376" s="513"/>
      <c r="J376" s="513"/>
      <c r="K376" s="513"/>
      <c r="L376" s="513"/>
    </row>
    <row r="377" spans="2:12" s="340" customFormat="1" ht="13.5" hidden="1" customHeight="1" x14ac:dyDescent="0.2">
      <c r="B377" s="513"/>
      <c r="C377" s="513"/>
      <c r="D377" s="513"/>
      <c r="E377" s="513"/>
      <c r="F377" s="513"/>
      <c r="G377" s="513"/>
      <c r="H377" s="513"/>
      <c r="I377" s="513"/>
      <c r="J377" s="513"/>
      <c r="K377" s="513"/>
      <c r="L377" s="513"/>
    </row>
    <row r="378" spans="2:12" s="340" customFormat="1" ht="13.5" hidden="1" customHeight="1" x14ac:dyDescent="0.2">
      <c r="B378" s="513"/>
      <c r="C378" s="513"/>
      <c r="D378" s="513"/>
      <c r="E378" s="513"/>
      <c r="F378" s="513"/>
      <c r="G378" s="513"/>
      <c r="H378" s="513"/>
      <c r="I378" s="513"/>
      <c r="J378" s="513"/>
      <c r="K378" s="513"/>
      <c r="L378" s="513"/>
    </row>
    <row r="379" spans="2:12" s="340" customFormat="1" ht="13.5" hidden="1" customHeight="1" x14ac:dyDescent="0.2">
      <c r="B379" s="513"/>
      <c r="C379" s="513"/>
      <c r="D379" s="513"/>
      <c r="E379" s="513"/>
      <c r="F379" s="513"/>
      <c r="G379" s="513"/>
      <c r="H379" s="513"/>
      <c r="I379" s="513"/>
      <c r="J379" s="513"/>
      <c r="K379" s="513"/>
      <c r="L379" s="513"/>
    </row>
    <row r="380" spans="2:12" s="340" customFormat="1" ht="13.5" hidden="1" customHeight="1" x14ac:dyDescent="0.2">
      <c r="B380" s="513"/>
      <c r="C380" s="513"/>
      <c r="D380" s="513"/>
      <c r="E380" s="513"/>
      <c r="F380" s="513"/>
      <c r="G380" s="513"/>
      <c r="H380" s="513"/>
      <c r="I380" s="513"/>
      <c r="J380" s="513"/>
      <c r="K380" s="513"/>
      <c r="L380" s="513"/>
    </row>
    <row r="381" spans="2:12" s="340" customFormat="1" ht="13.5" hidden="1" customHeight="1" x14ac:dyDescent="0.2">
      <c r="B381" s="513"/>
      <c r="C381" s="513"/>
      <c r="D381" s="513"/>
      <c r="E381" s="513"/>
      <c r="F381" s="513"/>
      <c r="G381" s="513"/>
      <c r="H381" s="513"/>
      <c r="I381" s="513"/>
      <c r="J381" s="513"/>
      <c r="K381" s="513"/>
      <c r="L381" s="513"/>
    </row>
    <row r="382" spans="2:12" s="340" customFormat="1" ht="13.5" hidden="1" customHeight="1" x14ac:dyDescent="0.2">
      <c r="B382" s="513"/>
      <c r="C382" s="513"/>
      <c r="D382" s="513"/>
      <c r="E382" s="513"/>
      <c r="F382" s="513"/>
      <c r="G382" s="513"/>
      <c r="H382" s="513"/>
      <c r="I382" s="513"/>
      <c r="J382" s="513"/>
      <c r="K382" s="513"/>
      <c r="L382" s="513"/>
    </row>
    <row r="383" spans="2:12" s="340" customFormat="1" ht="13.5" hidden="1" customHeight="1" x14ac:dyDescent="0.2">
      <c r="B383" s="513"/>
      <c r="C383" s="513"/>
      <c r="D383" s="513"/>
      <c r="E383" s="513"/>
      <c r="F383" s="513"/>
      <c r="G383" s="513"/>
      <c r="H383" s="513"/>
      <c r="I383" s="513"/>
      <c r="J383" s="513"/>
      <c r="K383" s="513"/>
      <c r="L383" s="513"/>
    </row>
    <row r="384" spans="2:12" s="340" customFormat="1" ht="13.5" hidden="1" customHeight="1" x14ac:dyDescent="0.2">
      <c r="B384" s="513"/>
      <c r="C384" s="513"/>
      <c r="D384" s="513"/>
      <c r="E384" s="513"/>
      <c r="F384" s="513"/>
      <c r="G384" s="513"/>
      <c r="H384" s="513"/>
      <c r="I384" s="513"/>
      <c r="J384" s="513"/>
      <c r="K384" s="513"/>
      <c r="L384" s="513"/>
    </row>
    <row r="385" spans="2:12" s="340" customFormat="1" ht="13.5" hidden="1" customHeight="1" x14ac:dyDescent="0.2">
      <c r="B385" s="513"/>
      <c r="C385" s="513"/>
      <c r="D385" s="513"/>
      <c r="E385" s="513"/>
      <c r="F385" s="513"/>
      <c r="G385" s="513"/>
      <c r="H385" s="513"/>
      <c r="I385" s="513"/>
      <c r="J385" s="513"/>
      <c r="K385" s="513"/>
      <c r="L385" s="513"/>
    </row>
    <row r="386" spans="2:12" s="340" customFormat="1" ht="13.5" hidden="1" customHeight="1" x14ac:dyDescent="0.2">
      <c r="B386" s="513"/>
      <c r="C386" s="513"/>
      <c r="D386" s="513"/>
      <c r="E386" s="513"/>
      <c r="F386" s="513"/>
      <c r="G386" s="513"/>
      <c r="H386" s="513"/>
      <c r="I386" s="513"/>
      <c r="J386" s="513"/>
      <c r="K386" s="513"/>
      <c r="L386" s="513"/>
    </row>
    <row r="387" spans="2:12" s="340" customFormat="1" ht="13.5" hidden="1" customHeight="1" x14ac:dyDescent="0.2">
      <c r="B387" s="513"/>
      <c r="C387" s="513"/>
      <c r="D387" s="513"/>
      <c r="E387" s="513"/>
      <c r="F387" s="513"/>
      <c r="G387" s="513"/>
      <c r="H387" s="513"/>
      <c r="I387" s="513"/>
      <c r="J387" s="513"/>
      <c r="K387" s="513"/>
      <c r="L387" s="513"/>
    </row>
    <row r="388" spans="2:12" s="340" customFormat="1" ht="13.5" hidden="1" customHeight="1" x14ac:dyDescent="0.2">
      <c r="B388" s="513"/>
      <c r="C388" s="513"/>
      <c r="D388" s="513"/>
      <c r="E388" s="513"/>
      <c r="F388" s="513"/>
      <c r="G388" s="513"/>
      <c r="H388" s="513"/>
      <c r="I388" s="513"/>
      <c r="J388" s="513"/>
      <c r="K388" s="513"/>
      <c r="L388" s="513"/>
    </row>
    <row r="389" spans="2:12" s="340" customFormat="1" ht="13.5" hidden="1" customHeight="1" x14ac:dyDescent="0.2">
      <c r="B389" s="513"/>
      <c r="C389" s="513"/>
      <c r="D389" s="513"/>
      <c r="E389" s="513"/>
      <c r="F389" s="513"/>
      <c r="G389" s="513"/>
      <c r="H389" s="513"/>
      <c r="I389" s="513"/>
      <c r="J389" s="513"/>
      <c r="K389" s="513"/>
      <c r="L389" s="513"/>
    </row>
    <row r="390" spans="2:12" s="340" customFormat="1" ht="13.5" hidden="1" customHeight="1" x14ac:dyDescent="0.2">
      <c r="B390" s="513"/>
      <c r="C390" s="513"/>
      <c r="D390" s="513"/>
      <c r="E390" s="513"/>
      <c r="F390" s="513"/>
      <c r="G390" s="513"/>
      <c r="H390" s="513"/>
      <c r="I390" s="513"/>
      <c r="J390" s="513"/>
      <c r="K390" s="513"/>
      <c r="L390" s="513"/>
    </row>
    <row r="391" spans="2:12" s="340" customFormat="1" ht="13.5" hidden="1" customHeight="1" x14ac:dyDescent="0.2">
      <c r="B391" s="513"/>
      <c r="C391" s="513"/>
      <c r="D391" s="513"/>
      <c r="E391" s="513"/>
      <c r="F391" s="513"/>
      <c r="G391" s="513"/>
      <c r="H391" s="513"/>
      <c r="I391" s="513"/>
      <c r="J391" s="513"/>
      <c r="K391" s="513"/>
      <c r="L391" s="513"/>
    </row>
    <row r="392" spans="2:12" s="340" customFormat="1" ht="13.5" hidden="1" customHeight="1" x14ac:dyDescent="0.2">
      <c r="B392" s="513"/>
      <c r="C392" s="513"/>
      <c r="D392" s="513"/>
      <c r="E392" s="513"/>
      <c r="F392" s="513"/>
      <c r="G392" s="513"/>
      <c r="H392" s="513"/>
      <c r="I392" s="513"/>
      <c r="J392" s="513"/>
      <c r="K392" s="513"/>
      <c r="L392" s="513"/>
    </row>
    <row r="393" spans="2:12" s="340" customFormat="1" ht="13.5" hidden="1" customHeight="1" x14ac:dyDescent="0.2">
      <c r="B393" s="513"/>
      <c r="C393" s="513"/>
      <c r="D393" s="513"/>
      <c r="E393" s="513"/>
      <c r="F393" s="513"/>
      <c r="G393" s="513"/>
      <c r="H393" s="513"/>
      <c r="I393" s="513"/>
      <c r="J393" s="513"/>
      <c r="K393" s="513"/>
      <c r="L393" s="513"/>
    </row>
    <row r="394" spans="2:12" s="340" customFormat="1" ht="13.5" hidden="1" customHeight="1" x14ac:dyDescent="0.2">
      <c r="B394" s="513"/>
      <c r="C394" s="513"/>
      <c r="D394" s="513"/>
      <c r="E394" s="513"/>
      <c r="F394" s="513"/>
      <c r="G394" s="513"/>
      <c r="H394" s="513"/>
      <c r="I394" s="513"/>
      <c r="J394" s="513"/>
      <c r="K394" s="513"/>
      <c r="L394" s="513"/>
    </row>
    <row r="395" spans="2:12" s="340" customFormat="1" ht="13.5" hidden="1" customHeight="1" x14ac:dyDescent="0.2">
      <c r="B395" s="513"/>
      <c r="C395" s="513"/>
      <c r="D395" s="513"/>
      <c r="E395" s="513"/>
      <c r="F395" s="513"/>
      <c r="G395" s="513"/>
      <c r="H395" s="513"/>
      <c r="I395" s="513"/>
      <c r="J395" s="513"/>
      <c r="K395" s="513"/>
      <c r="L395" s="513"/>
    </row>
    <row r="396" spans="2:12" s="340" customFormat="1" ht="13.5" hidden="1" customHeight="1" x14ac:dyDescent="0.2">
      <c r="B396" s="513"/>
      <c r="C396" s="513"/>
      <c r="D396" s="513"/>
      <c r="E396" s="513"/>
      <c r="F396" s="513"/>
      <c r="G396" s="513"/>
      <c r="H396" s="513"/>
      <c r="I396" s="513"/>
      <c r="J396" s="513"/>
      <c r="K396" s="513"/>
      <c r="L396" s="513"/>
    </row>
    <row r="397" spans="2:12" s="340" customFormat="1" ht="13.5" hidden="1" customHeight="1" x14ac:dyDescent="0.2">
      <c r="B397" s="513"/>
      <c r="C397" s="513"/>
      <c r="D397" s="513"/>
      <c r="E397" s="513"/>
      <c r="F397" s="513"/>
      <c r="G397" s="513"/>
      <c r="H397" s="513"/>
      <c r="I397" s="513"/>
      <c r="J397" s="513"/>
      <c r="K397" s="513"/>
      <c r="L397" s="513"/>
    </row>
    <row r="398" spans="2:12" s="340" customFormat="1" ht="13.5" hidden="1" customHeight="1" x14ac:dyDescent="0.2">
      <c r="B398" s="513"/>
      <c r="C398" s="513"/>
      <c r="D398" s="513"/>
      <c r="E398" s="513"/>
      <c r="F398" s="513"/>
      <c r="G398" s="513"/>
      <c r="H398" s="513"/>
      <c r="I398" s="513"/>
      <c r="J398" s="513"/>
      <c r="K398" s="513"/>
      <c r="L398" s="513"/>
    </row>
    <row r="399" spans="2:12" s="340" customFormat="1" ht="13.5" hidden="1" customHeight="1" x14ac:dyDescent="0.2">
      <c r="B399" s="513"/>
      <c r="C399" s="513"/>
      <c r="D399" s="513"/>
      <c r="E399" s="513"/>
      <c r="F399" s="513"/>
      <c r="G399" s="513"/>
      <c r="H399" s="513"/>
      <c r="I399" s="513"/>
      <c r="J399" s="513"/>
      <c r="K399" s="513"/>
      <c r="L399" s="513"/>
    </row>
    <row r="400" spans="2:12" s="340" customFormat="1" ht="13.5" hidden="1" customHeight="1" x14ac:dyDescent="0.2">
      <c r="B400" s="513"/>
      <c r="C400" s="513"/>
      <c r="D400" s="513"/>
      <c r="E400" s="513"/>
      <c r="F400" s="513"/>
      <c r="G400" s="513"/>
      <c r="H400" s="513"/>
      <c r="I400" s="513"/>
      <c r="J400" s="513"/>
      <c r="K400" s="513"/>
      <c r="L400" s="513"/>
    </row>
    <row r="401" spans="2:12" s="340" customFormat="1" ht="13.5" hidden="1" customHeight="1" x14ac:dyDescent="0.2">
      <c r="B401" s="513"/>
      <c r="C401" s="513"/>
      <c r="D401" s="513"/>
      <c r="E401" s="513"/>
      <c r="F401" s="513"/>
      <c r="G401" s="513"/>
      <c r="H401" s="513"/>
      <c r="I401" s="513"/>
      <c r="J401" s="513"/>
      <c r="K401" s="513"/>
      <c r="L401" s="513"/>
    </row>
    <row r="402" spans="2:12" s="340" customFormat="1" ht="13.5" hidden="1" customHeight="1" x14ac:dyDescent="0.2">
      <c r="B402" s="513"/>
      <c r="C402" s="513"/>
      <c r="D402" s="513"/>
      <c r="E402" s="513"/>
      <c r="F402" s="513"/>
      <c r="G402" s="513"/>
      <c r="H402" s="513"/>
      <c r="I402" s="513"/>
      <c r="J402" s="513"/>
      <c r="K402" s="513"/>
      <c r="L402" s="513"/>
    </row>
    <row r="403" spans="2:12" s="340" customFormat="1" ht="13.5" hidden="1" customHeight="1" x14ac:dyDescent="0.2">
      <c r="B403" s="513"/>
      <c r="C403" s="513"/>
      <c r="D403" s="513"/>
      <c r="E403" s="513"/>
      <c r="F403" s="513"/>
      <c r="G403" s="513"/>
      <c r="H403" s="513"/>
      <c r="I403" s="513"/>
      <c r="J403" s="513"/>
      <c r="K403" s="513"/>
      <c r="L403" s="513"/>
    </row>
    <row r="404" spans="2:12" s="340" customFormat="1" ht="13.5" hidden="1" customHeight="1" x14ac:dyDescent="0.2">
      <c r="B404" s="513"/>
      <c r="C404" s="513"/>
      <c r="D404" s="513"/>
      <c r="E404" s="513"/>
      <c r="F404" s="513"/>
      <c r="G404" s="513"/>
      <c r="H404" s="513"/>
      <c r="I404" s="513"/>
      <c r="J404" s="513"/>
      <c r="K404" s="513"/>
      <c r="L404" s="513"/>
    </row>
    <row r="405" spans="2:12" s="340" customFormat="1" ht="13.5" hidden="1" customHeight="1" x14ac:dyDescent="0.2">
      <c r="B405" s="513"/>
      <c r="C405" s="513"/>
      <c r="D405" s="513"/>
      <c r="E405" s="513"/>
      <c r="F405" s="513"/>
      <c r="G405" s="513"/>
      <c r="H405" s="513"/>
      <c r="I405" s="513"/>
      <c r="J405" s="513"/>
      <c r="K405" s="513"/>
      <c r="L405" s="513"/>
    </row>
    <row r="406" spans="2:12" s="340" customFormat="1" ht="13.5" hidden="1" customHeight="1" x14ac:dyDescent="0.2">
      <c r="B406" s="513"/>
      <c r="C406" s="513"/>
      <c r="D406" s="513"/>
      <c r="E406" s="513"/>
      <c r="F406" s="513"/>
      <c r="G406" s="513"/>
      <c r="H406" s="513"/>
      <c r="I406" s="513"/>
      <c r="J406" s="513"/>
      <c r="K406" s="513"/>
      <c r="L406" s="513"/>
    </row>
    <row r="407" spans="2:12" s="340" customFormat="1" ht="13.5" hidden="1" customHeight="1" x14ac:dyDescent="0.2">
      <c r="B407" s="513"/>
      <c r="C407" s="513"/>
      <c r="D407" s="513"/>
      <c r="E407" s="513"/>
      <c r="F407" s="513"/>
      <c r="G407" s="513"/>
      <c r="H407" s="513"/>
      <c r="I407" s="513"/>
      <c r="J407" s="513"/>
      <c r="K407" s="513"/>
      <c r="L407" s="513"/>
    </row>
    <row r="408" spans="2:12" s="340" customFormat="1" ht="13.5" hidden="1" customHeight="1" x14ac:dyDescent="0.2">
      <c r="B408" s="513"/>
      <c r="C408" s="513"/>
      <c r="D408" s="513"/>
      <c r="E408" s="513"/>
      <c r="F408" s="513"/>
      <c r="G408" s="513"/>
      <c r="H408" s="513"/>
      <c r="I408" s="513"/>
      <c r="J408" s="513"/>
      <c r="K408" s="513"/>
      <c r="L408" s="513"/>
    </row>
    <row r="409" spans="2:12" s="340" customFormat="1" ht="13.5" hidden="1" customHeight="1" x14ac:dyDescent="0.2">
      <c r="B409" s="513"/>
      <c r="C409" s="513"/>
      <c r="D409" s="513"/>
      <c r="E409" s="513"/>
      <c r="F409" s="513"/>
      <c r="G409" s="513"/>
      <c r="H409" s="513"/>
      <c r="I409" s="513"/>
      <c r="J409" s="513"/>
      <c r="K409" s="513"/>
      <c r="L409" s="513"/>
    </row>
    <row r="410" spans="2:12" s="340" customFormat="1" ht="13.5" hidden="1" customHeight="1" x14ac:dyDescent="0.2">
      <c r="B410" s="513"/>
      <c r="C410" s="513"/>
      <c r="D410" s="513"/>
      <c r="E410" s="513"/>
      <c r="F410" s="513"/>
      <c r="G410" s="513"/>
      <c r="H410" s="513"/>
      <c r="I410" s="513"/>
      <c r="J410" s="513"/>
      <c r="K410" s="513"/>
      <c r="L410" s="513"/>
    </row>
    <row r="411" spans="2:12" s="340" customFormat="1" ht="13.5" hidden="1" customHeight="1" x14ac:dyDescent="0.2">
      <c r="B411" s="513"/>
      <c r="C411" s="513"/>
      <c r="D411" s="513"/>
      <c r="E411" s="513"/>
      <c r="F411" s="513"/>
      <c r="G411" s="513"/>
      <c r="H411" s="513"/>
      <c r="I411" s="513"/>
      <c r="J411" s="513"/>
      <c r="K411" s="513"/>
      <c r="L411" s="513"/>
    </row>
    <row r="412" spans="2:12" s="340" customFormat="1" ht="13.5" hidden="1" customHeight="1" x14ac:dyDescent="0.2">
      <c r="B412" s="513"/>
      <c r="C412" s="513"/>
      <c r="D412" s="513"/>
      <c r="E412" s="513"/>
      <c r="F412" s="513"/>
      <c r="G412" s="513"/>
      <c r="H412" s="513"/>
      <c r="I412" s="513"/>
      <c r="J412" s="513"/>
      <c r="K412" s="513"/>
      <c r="L412" s="513"/>
    </row>
    <row r="413" spans="2:12" s="340" customFormat="1" ht="13.5" hidden="1" customHeight="1" x14ac:dyDescent="0.2">
      <c r="B413" s="513"/>
      <c r="C413" s="513"/>
      <c r="D413" s="513"/>
      <c r="E413" s="513"/>
      <c r="F413" s="513"/>
      <c r="G413" s="513"/>
      <c r="H413" s="513"/>
      <c r="I413" s="513"/>
      <c r="J413" s="513"/>
      <c r="K413" s="513"/>
      <c r="L413" s="513"/>
    </row>
    <row r="414" spans="2:12" s="340" customFormat="1" ht="13.5" hidden="1" customHeight="1" x14ac:dyDescent="0.2">
      <c r="B414" s="513"/>
      <c r="C414" s="513"/>
      <c r="D414" s="513"/>
      <c r="E414" s="513"/>
      <c r="F414" s="513"/>
      <c r="G414" s="513"/>
      <c r="H414" s="513"/>
      <c r="I414" s="513"/>
      <c r="J414" s="513"/>
      <c r="K414" s="513"/>
      <c r="L414" s="513"/>
    </row>
    <row r="415" spans="2:12" s="340" customFormat="1" ht="13.5" hidden="1" customHeight="1" x14ac:dyDescent="0.2">
      <c r="B415" s="513"/>
      <c r="C415" s="513"/>
      <c r="D415" s="513"/>
      <c r="E415" s="513"/>
      <c r="F415" s="513"/>
      <c r="G415" s="513"/>
      <c r="H415" s="513"/>
      <c r="I415" s="513"/>
      <c r="J415" s="513"/>
      <c r="K415" s="513"/>
      <c r="L415" s="513"/>
    </row>
    <row r="416" spans="2:12" s="340" customFormat="1" ht="13.5" hidden="1" customHeight="1" x14ac:dyDescent="0.2">
      <c r="B416" s="513"/>
      <c r="C416" s="513"/>
      <c r="D416" s="513"/>
      <c r="E416" s="513"/>
      <c r="F416" s="513"/>
      <c r="G416" s="513"/>
      <c r="H416" s="513"/>
      <c r="I416" s="513"/>
      <c r="J416" s="513"/>
      <c r="K416" s="513"/>
      <c r="L416" s="513"/>
    </row>
    <row r="417" spans="2:12" s="340" customFormat="1" ht="13.5" hidden="1" customHeight="1" x14ac:dyDescent="0.2">
      <c r="B417" s="513"/>
      <c r="C417" s="513"/>
      <c r="D417" s="513"/>
      <c r="E417" s="513"/>
      <c r="F417" s="513"/>
      <c r="G417" s="513"/>
      <c r="H417" s="513"/>
      <c r="I417" s="513"/>
      <c r="J417" s="513"/>
      <c r="K417" s="513"/>
      <c r="L417" s="513"/>
    </row>
    <row r="418" spans="2:12" s="340" customFormat="1" ht="13.5" hidden="1" customHeight="1" x14ac:dyDescent="0.2">
      <c r="B418" s="513"/>
      <c r="C418" s="513"/>
      <c r="D418" s="513"/>
      <c r="E418" s="513"/>
      <c r="F418" s="513"/>
      <c r="G418" s="513"/>
      <c r="H418" s="513"/>
      <c r="I418" s="513"/>
      <c r="J418" s="513"/>
      <c r="K418" s="513"/>
      <c r="L418" s="513"/>
    </row>
    <row r="419" spans="2:12" s="340" customFormat="1" ht="13.5" hidden="1" customHeight="1" x14ac:dyDescent="0.2">
      <c r="B419" s="513"/>
      <c r="C419" s="513"/>
      <c r="D419" s="513"/>
      <c r="E419" s="513"/>
      <c r="F419" s="513"/>
      <c r="G419" s="513"/>
      <c r="H419" s="513"/>
      <c r="I419" s="513"/>
      <c r="J419" s="513"/>
      <c r="K419" s="513"/>
      <c r="L419" s="513"/>
    </row>
    <row r="420" spans="2:12" s="340" customFormat="1" ht="13.5" hidden="1" customHeight="1" x14ac:dyDescent="0.2">
      <c r="B420" s="513"/>
      <c r="C420" s="513"/>
      <c r="D420" s="513"/>
      <c r="E420" s="513"/>
      <c r="F420" s="513"/>
      <c r="G420" s="513"/>
      <c r="H420" s="513"/>
      <c r="I420" s="513"/>
      <c r="J420" s="513"/>
      <c r="K420" s="513"/>
      <c r="L420" s="513"/>
    </row>
    <row r="421" spans="2:12" s="340" customFormat="1" ht="13.5" hidden="1" customHeight="1" x14ac:dyDescent="0.2">
      <c r="B421" s="513"/>
      <c r="C421" s="513"/>
      <c r="D421" s="513"/>
      <c r="E421" s="513"/>
      <c r="F421" s="513"/>
      <c r="G421" s="513"/>
      <c r="H421" s="513"/>
      <c r="I421" s="513"/>
      <c r="J421" s="513"/>
      <c r="K421" s="513"/>
      <c r="L421" s="513"/>
    </row>
    <row r="422" spans="2:12" s="340" customFormat="1" ht="13.5" hidden="1" customHeight="1" x14ac:dyDescent="0.2">
      <c r="B422" s="513"/>
      <c r="C422" s="513"/>
      <c r="D422" s="513"/>
      <c r="E422" s="513"/>
      <c r="F422" s="513"/>
      <c r="G422" s="513"/>
      <c r="H422" s="513"/>
      <c r="I422" s="513"/>
      <c r="J422" s="513"/>
      <c r="K422" s="513"/>
      <c r="L422" s="513"/>
    </row>
    <row r="423" spans="2:12" s="340" customFormat="1" ht="13.5" hidden="1" customHeight="1" x14ac:dyDescent="0.2">
      <c r="B423" s="513"/>
      <c r="C423" s="513"/>
      <c r="D423" s="513"/>
      <c r="E423" s="513"/>
      <c r="F423" s="513"/>
      <c r="G423" s="513"/>
      <c r="H423" s="513"/>
      <c r="I423" s="513"/>
      <c r="J423" s="513"/>
      <c r="K423" s="513"/>
      <c r="L423" s="513"/>
    </row>
    <row r="424" spans="2:12" s="340" customFormat="1" ht="13.5" hidden="1" customHeight="1" x14ac:dyDescent="0.2">
      <c r="B424" s="513"/>
      <c r="C424" s="513"/>
      <c r="D424" s="513"/>
      <c r="E424" s="513"/>
      <c r="F424" s="513"/>
      <c r="G424" s="513"/>
      <c r="H424" s="513"/>
      <c r="I424" s="513"/>
      <c r="J424" s="513"/>
      <c r="K424" s="513"/>
      <c r="L424" s="513"/>
    </row>
    <row r="425" spans="2:12" s="340" customFormat="1" ht="13.5" hidden="1" customHeight="1" x14ac:dyDescent="0.2">
      <c r="B425" s="513"/>
      <c r="C425" s="513"/>
      <c r="D425" s="513"/>
      <c r="E425" s="513"/>
      <c r="F425" s="513"/>
      <c r="G425" s="513"/>
      <c r="H425" s="513"/>
      <c r="I425" s="513"/>
      <c r="J425" s="513"/>
      <c r="K425" s="513"/>
      <c r="L425" s="513"/>
    </row>
    <row r="426" spans="2:12" s="340" customFormat="1" ht="13.5" hidden="1" customHeight="1" x14ac:dyDescent="0.2">
      <c r="B426" s="513"/>
      <c r="C426" s="513"/>
      <c r="D426" s="513"/>
      <c r="E426" s="513"/>
      <c r="F426" s="513"/>
      <c r="G426" s="513"/>
      <c r="H426" s="513"/>
      <c r="I426" s="513"/>
      <c r="J426" s="513"/>
      <c r="K426" s="513"/>
      <c r="L426" s="513"/>
    </row>
    <row r="427" spans="2:12" s="340" customFormat="1" ht="13.5" hidden="1" customHeight="1" x14ac:dyDescent="0.2">
      <c r="B427" s="513"/>
      <c r="C427" s="513"/>
      <c r="D427" s="513"/>
      <c r="E427" s="513"/>
      <c r="F427" s="513"/>
      <c r="G427" s="513"/>
      <c r="H427" s="513"/>
      <c r="I427" s="513"/>
      <c r="J427" s="513"/>
      <c r="K427" s="513"/>
      <c r="L427" s="513"/>
    </row>
    <row r="428" spans="2:12" s="340" customFormat="1" ht="13.5" hidden="1" customHeight="1" x14ac:dyDescent="0.2">
      <c r="B428" s="513"/>
      <c r="C428" s="513"/>
      <c r="D428" s="513"/>
      <c r="E428" s="513"/>
      <c r="F428" s="513"/>
      <c r="G428" s="513"/>
      <c r="H428" s="513"/>
      <c r="I428" s="513"/>
      <c r="J428" s="513"/>
      <c r="K428" s="513"/>
      <c r="L428" s="513"/>
    </row>
    <row r="429" spans="2:12" s="340" customFormat="1" ht="13.5" hidden="1" customHeight="1" x14ac:dyDescent="0.2">
      <c r="B429" s="513"/>
      <c r="C429" s="513"/>
      <c r="D429" s="513"/>
      <c r="E429" s="513"/>
      <c r="F429" s="513"/>
      <c r="G429" s="513"/>
      <c r="H429" s="513"/>
      <c r="I429" s="513"/>
      <c r="J429" s="513"/>
      <c r="K429" s="513"/>
      <c r="L429" s="513"/>
    </row>
    <row r="430" spans="2:12" s="340" customFormat="1" ht="13.5" hidden="1" customHeight="1" x14ac:dyDescent="0.2">
      <c r="B430" s="513"/>
      <c r="C430" s="513"/>
      <c r="D430" s="513"/>
      <c r="E430" s="513"/>
      <c r="F430" s="513"/>
      <c r="G430" s="513"/>
      <c r="H430" s="513"/>
      <c r="I430" s="513"/>
      <c r="J430" s="513"/>
      <c r="K430" s="513"/>
      <c r="L430" s="513"/>
    </row>
    <row r="431" spans="2:12" s="340" customFormat="1" ht="13.5" hidden="1" customHeight="1" x14ac:dyDescent="0.2">
      <c r="B431" s="513"/>
      <c r="C431" s="513"/>
      <c r="D431" s="513"/>
      <c r="E431" s="513"/>
      <c r="F431" s="513"/>
      <c r="G431" s="513"/>
      <c r="H431" s="513"/>
      <c r="I431" s="513"/>
      <c r="J431" s="513"/>
      <c r="K431" s="513"/>
      <c r="L431" s="513"/>
    </row>
    <row r="432" spans="2:12" s="340" customFormat="1" ht="13.5" hidden="1" customHeight="1" x14ac:dyDescent="0.2">
      <c r="B432" s="513"/>
      <c r="C432" s="513"/>
      <c r="D432" s="513"/>
      <c r="E432" s="513"/>
      <c r="F432" s="513"/>
      <c r="G432" s="513"/>
      <c r="H432" s="513"/>
      <c r="I432" s="513"/>
      <c r="J432" s="513"/>
      <c r="K432" s="513"/>
      <c r="L432" s="513"/>
    </row>
    <row r="433" spans="2:12" s="340" customFormat="1" ht="13.5" hidden="1" customHeight="1" x14ac:dyDescent="0.2">
      <c r="B433" s="513"/>
      <c r="C433" s="513"/>
      <c r="D433" s="513"/>
      <c r="E433" s="513"/>
      <c r="F433" s="513"/>
      <c r="G433" s="513"/>
      <c r="H433" s="513"/>
      <c r="I433" s="513"/>
      <c r="J433" s="513"/>
      <c r="K433" s="513"/>
      <c r="L433" s="513"/>
    </row>
    <row r="434" spans="2:12" s="340" customFormat="1" ht="13.5" hidden="1" customHeight="1" x14ac:dyDescent="0.2">
      <c r="B434" s="513"/>
      <c r="C434" s="513"/>
      <c r="D434" s="513"/>
      <c r="E434" s="513"/>
      <c r="F434" s="513"/>
      <c r="G434" s="513"/>
      <c r="H434" s="513"/>
      <c r="I434" s="513"/>
      <c r="J434" s="513"/>
      <c r="K434" s="513"/>
      <c r="L434" s="513"/>
    </row>
    <row r="435" spans="2:12" s="340" customFormat="1" ht="13.5" hidden="1" customHeight="1" x14ac:dyDescent="0.2">
      <c r="B435" s="513"/>
      <c r="C435" s="513"/>
      <c r="D435" s="513"/>
      <c r="E435" s="513"/>
      <c r="F435" s="513"/>
      <c r="G435" s="513"/>
      <c r="H435" s="513"/>
      <c r="I435" s="513"/>
      <c r="J435" s="513"/>
      <c r="K435" s="513"/>
      <c r="L435" s="513"/>
    </row>
    <row r="436" spans="2:12" s="340" customFormat="1" ht="13.5" hidden="1" customHeight="1" x14ac:dyDescent="0.2">
      <c r="B436" s="513"/>
      <c r="C436" s="513"/>
      <c r="D436" s="513"/>
      <c r="E436" s="513"/>
      <c r="F436" s="513"/>
      <c r="G436" s="513"/>
      <c r="H436" s="513"/>
      <c r="I436" s="513"/>
      <c r="J436" s="513"/>
      <c r="K436" s="513"/>
      <c r="L436" s="513"/>
    </row>
    <row r="437" spans="2:12" s="340" customFormat="1" ht="13.5" hidden="1" customHeight="1" x14ac:dyDescent="0.2">
      <c r="B437" s="513"/>
      <c r="C437" s="513"/>
      <c r="D437" s="513"/>
      <c r="E437" s="513"/>
      <c r="F437" s="513"/>
      <c r="G437" s="513"/>
      <c r="H437" s="513"/>
      <c r="I437" s="513"/>
      <c r="J437" s="513"/>
      <c r="K437" s="513"/>
      <c r="L437" s="513"/>
    </row>
    <row r="438" spans="2:12" s="340" customFormat="1" ht="13.5" hidden="1" customHeight="1" x14ac:dyDescent="0.2">
      <c r="B438" s="513"/>
      <c r="C438" s="513"/>
      <c r="D438" s="513"/>
      <c r="E438" s="513"/>
      <c r="F438" s="513"/>
      <c r="G438" s="513"/>
      <c r="H438" s="513"/>
      <c r="I438" s="513"/>
      <c r="J438" s="513"/>
      <c r="K438" s="513"/>
      <c r="L438" s="513"/>
    </row>
    <row r="439" spans="2:12" s="340" customFormat="1" ht="13.5" hidden="1" customHeight="1" x14ac:dyDescent="0.2">
      <c r="B439" s="513"/>
      <c r="C439" s="513"/>
      <c r="D439" s="513"/>
      <c r="E439" s="513"/>
      <c r="F439" s="513"/>
      <c r="G439" s="513"/>
      <c r="H439" s="513"/>
      <c r="I439" s="513"/>
      <c r="J439" s="513"/>
      <c r="K439" s="513"/>
      <c r="L439" s="513"/>
    </row>
    <row r="440" spans="2:12" s="340" customFormat="1" ht="13.5" hidden="1" customHeight="1" x14ac:dyDescent="0.2">
      <c r="B440" s="513"/>
      <c r="C440" s="513"/>
      <c r="D440" s="513"/>
      <c r="E440" s="513"/>
      <c r="F440" s="513"/>
      <c r="G440" s="513"/>
      <c r="H440" s="513"/>
      <c r="I440" s="513"/>
      <c r="J440" s="513"/>
      <c r="K440" s="513"/>
      <c r="L440" s="513"/>
    </row>
    <row r="441" spans="2:12" s="340" customFormat="1" ht="13.5" hidden="1" customHeight="1" x14ac:dyDescent="0.2">
      <c r="B441" s="513"/>
      <c r="C441" s="513"/>
      <c r="D441" s="513"/>
      <c r="E441" s="513"/>
      <c r="F441" s="513"/>
      <c r="G441" s="513"/>
      <c r="H441" s="513"/>
      <c r="I441" s="513"/>
      <c r="J441" s="513"/>
      <c r="K441" s="513"/>
      <c r="L441" s="513"/>
    </row>
    <row r="442" spans="2:12" s="340" customFormat="1" ht="13.5" hidden="1" customHeight="1" x14ac:dyDescent="0.2">
      <c r="B442" s="513"/>
      <c r="C442" s="513"/>
      <c r="D442" s="513"/>
      <c r="E442" s="513"/>
      <c r="F442" s="513"/>
      <c r="G442" s="513"/>
      <c r="H442" s="513"/>
      <c r="I442" s="513"/>
      <c r="J442" s="513"/>
      <c r="K442" s="513"/>
      <c r="L442" s="513"/>
    </row>
    <row r="443" spans="2:12" s="340" customFormat="1" ht="13.5" hidden="1" customHeight="1" x14ac:dyDescent="0.2">
      <c r="B443" s="513"/>
      <c r="C443" s="513"/>
      <c r="D443" s="513"/>
      <c r="E443" s="513"/>
      <c r="F443" s="513"/>
      <c r="G443" s="513"/>
      <c r="H443" s="513"/>
      <c r="I443" s="513"/>
      <c r="J443" s="513"/>
      <c r="K443" s="513"/>
      <c r="L443" s="513"/>
    </row>
    <row r="444" spans="2:12" s="340" customFormat="1" ht="13.5" hidden="1" customHeight="1" x14ac:dyDescent="0.2">
      <c r="B444" s="513"/>
      <c r="C444" s="513"/>
      <c r="D444" s="513"/>
      <c r="E444" s="513"/>
      <c r="F444" s="513"/>
      <c r="G444" s="513"/>
      <c r="H444" s="513"/>
      <c r="I444" s="513"/>
      <c r="J444" s="513"/>
      <c r="K444" s="513"/>
      <c r="L444" s="513"/>
    </row>
    <row r="445" spans="2:12" s="340" customFormat="1" ht="13.5" hidden="1" customHeight="1" x14ac:dyDescent="0.2">
      <c r="B445" s="513"/>
      <c r="C445" s="513"/>
      <c r="D445" s="513"/>
      <c r="E445" s="513"/>
      <c r="F445" s="513"/>
      <c r="G445" s="513"/>
      <c r="H445" s="513"/>
      <c r="I445" s="513"/>
      <c r="J445" s="513"/>
      <c r="K445" s="513"/>
      <c r="L445" s="513"/>
    </row>
    <row r="446" spans="2:12" s="340" customFormat="1" ht="13.5" hidden="1" customHeight="1" x14ac:dyDescent="0.2">
      <c r="B446" s="513"/>
      <c r="C446" s="513"/>
      <c r="D446" s="513"/>
      <c r="E446" s="513"/>
      <c r="F446" s="513"/>
      <c r="G446" s="513"/>
      <c r="H446" s="513"/>
      <c r="I446" s="513"/>
      <c r="J446" s="513"/>
      <c r="K446" s="513"/>
      <c r="L446" s="513"/>
    </row>
    <row r="447" spans="2:12" s="340" customFormat="1" ht="13.5" hidden="1" customHeight="1" x14ac:dyDescent="0.2">
      <c r="B447" s="513"/>
      <c r="C447" s="513"/>
      <c r="D447" s="513"/>
      <c r="E447" s="513"/>
      <c r="F447" s="513"/>
      <c r="G447" s="513"/>
      <c r="H447" s="513"/>
      <c r="I447" s="513"/>
      <c r="J447" s="513"/>
      <c r="K447" s="513"/>
      <c r="L447" s="513"/>
    </row>
    <row r="448" spans="2:12" s="340" customFormat="1" ht="13.5" hidden="1" customHeight="1" x14ac:dyDescent="0.2">
      <c r="B448" s="513"/>
      <c r="C448" s="513"/>
      <c r="D448" s="513"/>
      <c r="E448" s="513"/>
      <c r="F448" s="513"/>
      <c r="G448" s="513"/>
      <c r="H448" s="513"/>
      <c r="I448" s="513"/>
      <c r="J448" s="513"/>
      <c r="K448" s="513"/>
      <c r="L448" s="513"/>
    </row>
    <row r="449" spans="2:12" s="340" customFormat="1" ht="13.5" hidden="1" customHeight="1" x14ac:dyDescent="0.2">
      <c r="B449" s="513"/>
      <c r="C449" s="513"/>
      <c r="D449" s="513"/>
      <c r="E449" s="513"/>
      <c r="F449" s="513"/>
      <c r="G449" s="513"/>
      <c r="H449" s="513"/>
      <c r="I449" s="513"/>
      <c r="J449" s="513"/>
      <c r="K449" s="513"/>
      <c r="L449" s="513"/>
    </row>
    <row r="450" spans="2:12" s="340" customFormat="1" ht="13.5" hidden="1" customHeight="1" x14ac:dyDescent="0.2">
      <c r="B450" s="513"/>
      <c r="C450" s="513"/>
      <c r="D450" s="513"/>
      <c r="E450" s="513"/>
      <c r="F450" s="513"/>
      <c r="G450" s="513"/>
      <c r="H450" s="513"/>
      <c r="I450" s="513"/>
      <c r="J450" s="513"/>
      <c r="K450" s="513"/>
      <c r="L450" s="513"/>
    </row>
    <row r="451" spans="2:12" s="340" customFormat="1" ht="13.5" hidden="1" customHeight="1" x14ac:dyDescent="0.2">
      <c r="B451" s="513"/>
      <c r="C451" s="513"/>
      <c r="D451" s="513"/>
      <c r="E451" s="513"/>
      <c r="F451" s="513"/>
      <c r="G451" s="513"/>
      <c r="H451" s="513"/>
      <c r="I451" s="513"/>
      <c r="J451" s="513"/>
      <c r="K451" s="513"/>
      <c r="L451" s="513"/>
    </row>
    <row r="452" spans="2:12" s="340" customFormat="1" ht="13.5" hidden="1" customHeight="1" x14ac:dyDescent="0.2">
      <c r="B452" s="513"/>
      <c r="C452" s="513"/>
      <c r="D452" s="513"/>
      <c r="E452" s="513"/>
      <c r="F452" s="513"/>
      <c r="G452" s="513"/>
      <c r="H452" s="513"/>
      <c r="I452" s="513"/>
      <c r="J452" s="513"/>
      <c r="K452" s="513"/>
      <c r="L452" s="513"/>
    </row>
    <row r="453" spans="2:12" s="340" customFormat="1" ht="13.5" hidden="1" customHeight="1" x14ac:dyDescent="0.2">
      <c r="B453" s="513"/>
      <c r="C453" s="513"/>
      <c r="D453" s="513"/>
      <c r="E453" s="513"/>
      <c r="F453" s="513"/>
      <c r="G453" s="513"/>
      <c r="H453" s="513"/>
      <c r="I453" s="513"/>
      <c r="J453" s="513"/>
      <c r="K453" s="513"/>
      <c r="L453" s="513"/>
    </row>
    <row r="454" spans="2:12" s="340" customFormat="1" ht="13.5" hidden="1" customHeight="1" x14ac:dyDescent="0.2">
      <c r="B454" s="513"/>
      <c r="C454" s="513"/>
      <c r="D454" s="513"/>
      <c r="E454" s="513"/>
      <c r="F454" s="513"/>
      <c r="G454" s="513"/>
      <c r="H454" s="513"/>
      <c r="I454" s="513"/>
      <c r="J454" s="513"/>
      <c r="K454" s="513"/>
      <c r="L454" s="513"/>
    </row>
    <row r="455" spans="2:12" s="340" customFormat="1" ht="13.5" hidden="1" customHeight="1" x14ac:dyDescent="0.2">
      <c r="B455" s="513"/>
      <c r="C455" s="513"/>
      <c r="D455" s="513"/>
      <c r="E455" s="513"/>
      <c r="F455" s="513"/>
      <c r="G455" s="513"/>
      <c r="H455" s="513"/>
      <c r="I455" s="513"/>
      <c r="J455" s="513"/>
      <c r="K455" s="513"/>
      <c r="L455" s="513"/>
    </row>
    <row r="456" spans="2:12" s="340" customFormat="1" ht="13.5" hidden="1" customHeight="1" x14ac:dyDescent="0.2">
      <c r="B456" s="513"/>
      <c r="C456" s="513"/>
      <c r="D456" s="513"/>
      <c r="E456" s="513"/>
      <c r="F456" s="513"/>
      <c r="G456" s="513"/>
      <c r="H456" s="513"/>
      <c r="I456" s="513"/>
      <c r="J456" s="513"/>
      <c r="K456" s="513"/>
      <c r="L456" s="513"/>
    </row>
    <row r="457" spans="2:12" s="340" customFormat="1" ht="13.5" hidden="1" customHeight="1" x14ac:dyDescent="0.2">
      <c r="B457" s="513"/>
      <c r="C457" s="513"/>
      <c r="D457" s="513"/>
      <c r="E457" s="513"/>
      <c r="F457" s="513"/>
      <c r="G457" s="513"/>
      <c r="H457" s="513"/>
      <c r="I457" s="513"/>
      <c r="J457" s="513"/>
      <c r="K457" s="513"/>
      <c r="L457" s="513"/>
    </row>
    <row r="458" spans="2:12" s="340" customFormat="1" ht="13.5" hidden="1" customHeight="1" x14ac:dyDescent="0.2">
      <c r="B458" s="513"/>
      <c r="C458" s="513"/>
      <c r="D458" s="513"/>
      <c r="E458" s="513"/>
      <c r="F458" s="513"/>
      <c r="G458" s="513"/>
      <c r="H458" s="513"/>
      <c r="I458" s="513"/>
      <c r="J458" s="513"/>
      <c r="K458" s="513"/>
      <c r="L458" s="513"/>
    </row>
    <row r="459" spans="2:12" s="340" customFormat="1" ht="13.5" hidden="1" customHeight="1" x14ac:dyDescent="0.2">
      <c r="B459" s="513"/>
      <c r="C459" s="513"/>
      <c r="D459" s="513"/>
      <c r="E459" s="513"/>
      <c r="F459" s="513"/>
      <c r="G459" s="513"/>
      <c r="H459" s="513"/>
      <c r="I459" s="513"/>
      <c r="J459" s="513"/>
      <c r="K459" s="513"/>
      <c r="L459" s="513"/>
    </row>
    <row r="460" spans="2:12" s="340" customFormat="1" ht="13.5" hidden="1" customHeight="1" x14ac:dyDescent="0.2">
      <c r="B460" s="513"/>
      <c r="C460" s="513"/>
      <c r="D460" s="513"/>
      <c r="E460" s="513"/>
      <c r="F460" s="513"/>
      <c r="G460" s="513"/>
      <c r="H460" s="513"/>
      <c r="I460" s="513"/>
      <c r="J460" s="513"/>
      <c r="K460" s="513"/>
      <c r="L460" s="513"/>
    </row>
    <row r="461" spans="2:12" s="340" customFormat="1" ht="13.5" hidden="1" customHeight="1" x14ac:dyDescent="0.2">
      <c r="B461" s="513"/>
      <c r="C461" s="513"/>
      <c r="D461" s="513"/>
      <c r="E461" s="513"/>
      <c r="F461" s="513"/>
      <c r="G461" s="513"/>
      <c r="H461" s="513"/>
      <c r="I461" s="513"/>
      <c r="J461" s="513"/>
      <c r="K461" s="513"/>
      <c r="L461" s="513"/>
    </row>
    <row r="462" spans="2:12" s="340" customFormat="1" ht="13.5" hidden="1" customHeight="1" x14ac:dyDescent="0.2">
      <c r="B462" s="513"/>
      <c r="C462" s="513"/>
      <c r="D462" s="513"/>
      <c r="E462" s="513"/>
      <c r="F462" s="513"/>
      <c r="G462" s="513"/>
      <c r="H462" s="513"/>
      <c r="I462" s="513"/>
      <c r="J462" s="513"/>
      <c r="K462" s="513"/>
      <c r="L462" s="513"/>
    </row>
    <row r="463" spans="2:12" s="340" customFormat="1" ht="13.5" hidden="1" customHeight="1" x14ac:dyDescent="0.2">
      <c r="B463" s="513"/>
      <c r="C463" s="513"/>
      <c r="D463" s="513"/>
      <c r="E463" s="513"/>
      <c r="F463" s="513"/>
      <c r="G463" s="513"/>
      <c r="H463" s="513"/>
      <c r="I463" s="513"/>
      <c r="J463" s="513"/>
      <c r="K463" s="513"/>
      <c r="L463" s="513"/>
    </row>
    <row r="464" spans="2:12" s="340" customFormat="1" ht="13.5" hidden="1" customHeight="1" x14ac:dyDescent="0.2">
      <c r="B464" s="513"/>
      <c r="C464" s="513"/>
      <c r="D464" s="513"/>
      <c r="E464" s="513"/>
      <c r="F464" s="513"/>
      <c r="G464" s="513"/>
      <c r="H464" s="513"/>
      <c r="I464" s="513"/>
      <c r="J464" s="513"/>
      <c r="K464" s="513"/>
      <c r="L464" s="513"/>
    </row>
    <row r="465" spans="2:12" s="340" customFormat="1" ht="13.5" hidden="1" customHeight="1" x14ac:dyDescent="0.2">
      <c r="B465" s="513"/>
      <c r="C465" s="513"/>
      <c r="D465" s="513"/>
      <c r="E465" s="513"/>
      <c r="F465" s="513"/>
      <c r="G465" s="513"/>
      <c r="H465" s="513"/>
      <c r="I465" s="513"/>
      <c r="J465" s="513"/>
      <c r="K465" s="513"/>
      <c r="L465" s="513"/>
    </row>
    <row r="466" spans="2:12" s="340" customFormat="1" ht="13.5" hidden="1" customHeight="1" x14ac:dyDescent="0.2">
      <c r="B466" s="513"/>
      <c r="C466" s="513"/>
      <c r="D466" s="513"/>
      <c r="E466" s="513"/>
      <c r="F466" s="513"/>
      <c r="G466" s="513"/>
      <c r="H466" s="513"/>
      <c r="I466" s="513"/>
      <c r="J466" s="513"/>
      <c r="K466" s="513"/>
      <c r="L466" s="513"/>
    </row>
    <row r="467" spans="2:12" s="340" customFormat="1" ht="13.5" hidden="1" customHeight="1" x14ac:dyDescent="0.2">
      <c r="B467" s="513"/>
      <c r="C467" s="513"/>
      <c r="D467" s="513"/>
      <c r="E467" s="513"/>
      <c r="F467" s="513"/>
      <c r="G467" s="513"/>
      <c r="H467" s="513"/>
      <c r="I467" s="513"/>
      <c r="J467" s="513"/>
      <c r="K467" s="513"/>
      <c r="L467" s="513"/>
    </row>
    <row r="468" spans="2:12" s="340" customFormat="1" ht="13.5" hidden="1" customHeight="1" x14ac:dyDescent="0.2">
      <c r="B468" s="513"/>
      <c r="C468" s="513"/>
      <c r="D468" s="513"/>
      <c r="E468" s="513"/>
      <c r="F468" s="513"/>
      <c r="G468" s="513"/>
      <c r="H468" s="513"/>
      <c r="I468" s="513"/>
      <c r="J468" s="513"/>
      <c r="K468" s="513"/>
      <c r="L468" s="513"/>
    </row>
    <row r="469" spans="2:12" s="340" customFormat="1" ht="13.5" hidden="1" customHeight="1" x14ac:dyDescent="0.2">
      <c r="B469" s="513"/>
      <c r="C469" s="513"/>
      <c r="D469" s="513"/>
      <c r="E469" s="513"/>
      <c r="F469" s="513"/>
      <c r="G469" s="513"/>
      <c r="H469" s="513"/>
      <c r="I469" s="513"/>
      <c r="J469" s="513"/>
      <c r="K469" s="513"/>
      <c r="L469" s="513"/>
    </row>
    <row r="470" spans="2:12" s="340" customFormat="1" ht="13.5" hidden="1" customHeight="1" x14ac:dyDescent="0.2">
      <c r="B470" s="513"/>
      <c r="C470" s="513"/>
      <c r="D470" s="513"/>
      <c r="E470" s="513"/>
      <c r="F470" s="513"/>
      <c r="G470" s="513"/>
      <c r="H470" s="513"/>
      <c r="I470" s="513"/>
      <c r="J470" s="513"/>
      <c r="K470" s="513"/>
      <c r="L470" s="513"/>
    </row>
    <row r="471" spans="2:12" s="340" customFormat="1" ht="13.5" hidden="1" customHeight="1" x14ac:dyDescent="0.2">
      <c r="B471" s="513"/>
      <c r="C471" s="513"/>
      <c r="D471" s="513"/>
      <c r="E471" s="513"/>
      <c r="F471" s="513"/>
      <c r="G471" s="513"/>
      <c r="H471" s="513"/>
      <c r="I471" s="513"/>
      <c r="J471" s="513"/>
      <c r="K471" s="513"/>
      <c r="L471" s="513"/>
    </row>
    <row r="472" spans="2:12" s="340" customFormat="1" ht="13.5" hidden="1" customHeight="1" x14ac:dyDescent="0.2">
      <c r="B472" s="513"/>
      <c r="C472" s="513"/>
      <c r="D472" s="513"/>
      <c r="E472" s="513"/>
      <c r="F472" s="513"/>
      <c r="G472" s="513"/>
      <c r="H472" s="513"/>
      <c r="I472" s="513"/>
      <c r="J472" s="513"/>
      <c r="K472" s="513"/>
      <c r="L472" s="513"/>
    </row>
    <row r="473" spans="2:12" s="340" customFormat="1" ht="13.5" hidden="1" customHeight="1" x14ac:dyDescent="0.2">
      <c r="B473" s="513"/>
      <c r="C473" s="513"/>
      <c r="D473" s="513"/>
      <c r="E473" s="513"/>
      <c r="F473" s="513"/>
      <c r="G473" s="513"/>
      <c r="H473" s="513"/>
      <c r="I473" s="513"/>
      <c r="J473" s="513"/>
      <c r="K473" s="513"/>
      <c r="L473" s="513"/>
    </row>
    <row r="474" spans="2:12" s="340" customFormat="1" ht="13.5" hidden="1" customHeight="1" x14ac:dyDescent="0.2">
      <c r="B474" s="513"/>
      <c r="C474" s="513"/>
      <c r="D474" s="513"/>
      <c r="E474" s="513"/>
      <c r="F474" s="513"/>
      <c r="G474" s="513"/>
      <c r="H474" s="513"/>
      <c r="I474" s="513"/>
      <c r="J474" s="513"/>
      <c r="K474" s="513"/>
      <c r="L474" s="513"/>
    </row>
    <row r="475" spans="2:12" s="340" customFormat="1" ht="13.5" hidden="1" customHeight="1" x14ac:dyDescent="0.2">
      <c r="B475" s="513"/>
      <c r="C475" s="513"/>
      <c r="D475" s="513"/>
      <c r="E475" s="513"/>
      <c r="F475" s="513"/>
      <c r="G475" s="513"/>
      <c r="H475" s="513"/>
      <c r="I475" s="513"/>
      <c r="J475" s="513"/>
      <c r="K475" s="513"/>
      <c r="L475" s="513"/>
    </row>
    <row r="476" spans="2:12" s="340" customFormat="1" ht="13.5" hidden="1" customHeight="1" x14ac:dyDescent="0.2">
      <c r="B476" s="513"/>
      <c r="C476" s="513"/>
      <c r="D476" s="513"/>
      <c r="E476" s="513"/>
      <c r="F476" s="513"/>
      <c r="G476" s="513"/>
      <c r="H476" s="513"/>
      <c r="I476" s="513"/>
      <c r="J476" s="513"/>
      <c r="K476" s="513"/>
      <c r="L476" s="513"/>
    </row>
    <row r="477" spans="2:12" s="340" customFormat="1" ht="13.5" hidden="1" customHeight="1" x14ac:dyDescent="0.2">
      <c r="B477" s="513"/>
      <c r="C477" s="513"/>
      <c r="D477" s="513"/>
      <c r="E477" s="513"/>
      <c r="F477" s="513"/>
      <c r="G477" s="513"/>
      <c r="H477" s="513"/>
      <c r="I477" s="513"/>
      <c r="J477" s="513"/>
      <c r="K477" s="513"/>
      <c r="L477" s="513"/>
    </row>
    <row r="478" spans="2:12" s="340" customFormat="1" ht="13.5" hidden="1" customHeight="1" x14ac:dyDescent="0.2">
      <c r="B478" s="513"/>
      <c r="C478" s="513"/>
      <c r="D478" s="513"/>
      <c r="E478" s="513"/>
      <c r="F478" s="513"/>
      <c r="G478" s="513"/>
      <c r="H478" s="513"/>
      <c r="I478" s="513"/>
      <c r="J478" s="513"/>
      <c r="K478" s="513"/>
      <c r="L478" s="513"/>
    </row>
    <row r="479" spans="2:12" s="340" customFormat="1" ht="13.5" hidden="1" customHeight="1" x14ac:dyDescent="0.2">
      <c r="B479" s="513"/>
      <c r="C479" s="513"/>
      <c r="D479" s="513"/>
      <c r="E479" s="513"/>
      <c r="F479" s="513"/>
      <c r="G479" s="513"/>
      <c r="H479" s="513"/>
      <c r="I479" s="513"/>
      <c r="J479" s="513"/>
      <c r="K479" s="513"/>
      <c r="L479" s="513"/>
    </row>
    <row r="480" spans="2:12" s="340" customFormat="1" ht="13.5" hidden="1" customHeight="1" x14ac:dyDescent="0.2">
      <c r="B480" s="513"/>
      <c r="C480" s="513"/>
      <c r="D480" s="513"/>
      <c r="E480" s="513"/>
      <c r="F480" s="513"/>
      <c r="G480" s="513"/>
      <c r="H480" s="513"/>
      <c r="I480" s="513"/>
      <c r="J480" s="513"/>
      <c r="K480" s="513"/>
      <c r="L480" s="513"/>
    </row>
    <row r="481" spans="2:12" s="340" customFormat="1" ht="13.5" hidden="1" customHeight="1" x14ac:dyDescent="0.2">
      <c r="B481" s="513"/>
      <c r="C481" s="513"/>
      <c r="D481" s="513"/>
      <c r="E481" s="513"/>
      <c r="F481" s="513"/>
      <c r="G481" s="513"/>
      <c r="H481" s="513"/>
      <c r="I481" s="513"/>
      <c r="J481" s="513"/>
      <c r="K481" s="513"/>
      <c r="L481" s="513"/>
    </row>
    <row r="482" spans="2:12" s="340" customFormat="1" ht="13.5" hidden="1" customHeight="1" x14ac:dyDescent="0.2">
      <c r="B482" s="513"/>
      <c r="C482" s="513"/>
      <c r="D482" s="513"/>
      <c r="E482" s="513"/>
      <c r="F482" s="513"/>
      <c r="G482" s="513"/>
      <c r="H482" s="513"/>
      <c r="I482" s="513"/>
      <c r="J482" s="513"/>
      <c r="K482" s="513"/>
      <c r="L482" s="513"/>
    </row>
    <row r="483" spans="2:12" s="340" customFormat="1" ht="13.5" hidden="1" customHeight="1" x14ac:dyDescent="0.2">
      <c r="B483" s="513"/>
      <c r="C483" s="513"/>
      <c r="D483" s="513"/>
      <c r="E483" s="513"/>
      <c r="F483" s="513"/>
      <c r="G483" s="513"/>
      <c r="H483" s="513"/>
      <c r="I483" s="513"/>
      <c r="J483" s="513"/>
      <c r="K483" s="513"/>
      <c r="L483" s="513"/>
    </row>
    <row r="484" spans="2:12" s="340" customFormat="1" ht="13.5" hidden="1" customHeight="1" x14ac:dyDescent="0.2">
      <c r="B484" s="513"/>
      <c r="C484" s="513"/>
      <c r="D484" s="513"/>
      <c r="E484" s="513"/>
      <c r="F484" s="513"/>
      <c r="G484" s="513"/>
      <c r="H484" s="513"/>
      <c r="I484" s="513"/>
      <c r="J484" s="513"/>
      <c r="K484" s="513"/>
      <c r="L484" s="513"/>
    </row>
    <row r="485" spans="2:12" s="340" customFormat="1" ht="13.5" hidden="1" customHeight="1" x14ac:dyDescent="0.2">
      <c r="B485" s="513"/>
      <c r="C485" s="513"/>
      <c r="D485" s="513"/>
      <c r="E485" s="513"/>
      <c r="F485" s="513"/>
      <c r="G485" s="513"/>
      <c r="H485" s="513"/>
      <c r="I485" s="513"/>
      <c r="J485" s="513"/>
      <c r="K485" s="513"/>
      <c r="L485" s="513"/>
    </row>
    <row r="486" spans="2:12" s="340" customFormat="1" ht="13.5" hidden="1" customHeight="1" x14ac:dyDescent="0.2">
      <c r="B486" s="513"/>
      <c r="C486" s="513"/>
      <c r="D486" s="513"/>
      <c r="E486" s="513"/>
      <c r="F486" s="513"/>
      <c r="G486" s="513"/>
      <c r="H486" s="513"/>
      <c r="I486" s="513"/>
      <c r="J486" s="513"/>
      <c r="K486" s="513"/>
      <c r="L486" s="513"/>
    </row>
    <row r="487" spans="2:12" s="340" customFormat="1" ht="13.5" hidden="1" customHeight="1" x14ac:dyDescent="0.2">
      <c r="B487" s="513"/>
      <c r="C487" s="513"/>
      <c r="D487" s="513"/>
      <c r="E487" s="513"/>
      <c r="F487" s="513"/>
      <c r="G487" s="513"/>
      <c r="H487" s="513"/>
      <c r="I487" s="513"/>
      <c r="J487" s="513"/>
      <c r="K487" s="513"/>
      <c r="L487" s="513"/>
    </row>
    <row r="488" spans="2:12" s="340" customFormat="1" ht="13.5" hidden="1" customHeight="1" x14ac:dyDescent="0.2">
      <c r="B488" s="513"/>
      <c r="C488" s="513"/>
      <c r="D488" s="513"/>
      <c r="E488" s="513"/>
      <c r="F488" s="513"/>
      <c r="G488" s="513"/>
      <c r="H488" s="513"/>
      <c r="I488" s="513"/>
      <c r="J488" s="513"/>
      <c r="K488" s="513"/>
      <c r="L488" s="513"/>
    </row>
    <row r="489" spans="2:12" s="340" customFormat="1" ht="13.5" hidden="1" customHeight="1" x14ac:dyDescent="0.2">
      <c r="B489" s="513"/>
      <c r="C489" s="513"/>
      <c r="D489" s="513"/>
      <c r="E489" s="513"/>
      <c r="F489" s="513"/>
      <c r="G489" s="513"/>
      <c r="H489" s="513"/>
      <c r="I489" s="513"/>
      <c r="J489" s="513"/>
      <c r="K489" s="513"/>
      <c r="L489" s="513"/>
    </row>
    <row r="490" spans="2:12" s="340" customFormat="1" ht="13.5" hidden="1" customHeight="1" x14ac:dyDescent="0.2">
      <c r="B490" s="513"/>
      <c r="C490" s="513"/>
      <c r="D490" s="513"/>
      <c r="E490" s="513"/>
      <c r="F490" s="513"/>
      <c r="G490" s="513"/>
      <c r="H490" s="513"/>
      <c r="I490" s="513"/>
      <c r="J490" s="513"/>
      <c r="K490" s="513"/>
      <c r="L490" s="513"/>
    </row>
    <row r="491" spans="2:12" s="340" customFormat="1" ht="13.5" hidden="1" customHeight="1" x14ac:dyDescent="0.2">
      <c r="B491" s="513"/>
      <c r="C491" s="513"/>
      <c r="D491" s="513"/>
      <c r="E491" s="513"/>
      <c r="F491" s="513"/>
      <c r="G491" s="513"/>
      <c r="H491" s="513"/>
      <c r="I491" s="513"/>
      <c r="J491" s="513"/>
      <c r="K491" s="513"/>
      <c r="L491" s="513"/>
    </row>
    <row r="492" spans="2:12" s="340" customFormat="1" ht="13.5" hidden="1" customHeight="1" x14ac:dyDescent="0.2">
      <c r="B492" s="513"/>
      <c r="C492" s="513"/>
      <c r="D492" s="513"/>
      <c r="E492" s="513"/>
      <c r="F492" s="513"/>
      <c r="G492" s="513"/>
      <c r="H492" s="513"/>
      <c r="I492" s="513"/>
      <c r="J492" s="513"/>
      <c r="K492" s="513"/>
      <c r="L492" s="513"/>
    </row>
    <row r="493" spans="2:12" s="340" customFormat="1" ht="13.5" hidden="1" customHeight="1" x14ac:dyDescent="0.2">
      <c r="B493" s="513"/>
      <c r="C493" s="513"/>
      <c r="D493" s="513"/>
      <c r="E493" s="513"/>
      <c r="F493" s="513"/>
      <c r="G493" s="513"/>
      <c r="H493" s="513"/>
      <c r="I493" s="513"/>
      <c r="J493" s="513"/>
      <c r="K493" s="513"/>
      <c r="L493" s="513"/>
    </row>
    <row r="494" spans="2:12" s="340" customFormat="1" ht="13.5" hidden="1" customHeight="1" x14ac:dyDescent="0.2">
      <c r="B494" s="513"/>
      <c r="C494" s="513"/>
      <c r="D494" s="513"/>
      <c r="E494" s="513"/>
      <c r="F494" s="513"/>
      <c r="G494" s="513"/>
      <c r="H494" s="513"/>
      <c r="I494" s="513"/>
      <c r="J494" s="513"/>
      <c r="K494" s="513"/>
      <c r="L494" s="513"/>
    </row>
    <row r="495" spans="2:12" s="340" customFormat="1" ht="13.5" hidden="1" customHeight="1" x14ac:dyDescent="0.2">
      <c r="B495" s="513"/>
      <c r="C495" s="513"/>
      <c r="D495" s="513"/>
      <c r="E495" s="513"/>
      <c r="F495" s="513"/>
      <c r="G495" s="513"/>
      <c r="H495" s="513"/>
      <c r="I495" s="513"/>
      <c r="J495" s="513"/>
      <c r="K495" s="513"/>
      <c r="L495" s="513"/>
    </row>
    <row r="496" spans="2:12" s="340" customFormat="1" ht="13.5" hidden="1" customHeight="1" x14ac:dyDescent="0.2">
      <c r="B496" s="513"/>
      <c r="C496" s="513"/>
      <c r="D496" s="513"/>
      <c r="E496" s="513"/>
      <c r="F496" s="513"/>
      <c r="G496" s="513"/>
      <c r="H496" s="513"/>
      <c r="I496" s="513"/>
      <c r="J496" s="513"/>
      <c r="K496" s="513"/>
      <c r="L496" s="513"/>
    </row>
    <row r="497" spans="2:12" s="340" customFormat="1" ht="13.5" hidden="1" customHeight="1" x14ac:dyDescent="0.2">
      <c r="B497" s="513"/>
      <c r="C497" s="513"/>
      <c r="D497" s="513"/>
      <c r="E497" s="513"/>
      <c r="F497" s="513"/>
      <c r="G497" s="513"/>
      <c r="H497" s="513"/>
      <c r="I497" s="513"/>
      <c r="J497" s="513"/>
      <c r="K497" s="513"/>
      <c r="L497" s="513"/>
    </row>
    <row r="498" spans="2:12" s="340" customFormat="1" ht="13.5" hidden="1" customHeight="1" x14ac:dyDescent="0.2">
      <c r="B498" s="513"/>
      <c r="C498" s="513"/>
      <c r="D498" s="513"/>
      <c r="E498" s="513"/>
      <c r="F498" s="513"/>
      <c r="G498" s="513"/>
      <c r="H498" s="513"/>
      <c r="I498" s="513"/>
      <c r="J498" s="513"/>
      <c r="K498" s="513"/>
      <c r="L498" s="513"/>
    </row>
    <row r="499" spans="2:12" s="340" customFormat="1" ht="13.5" hidden="1" customHeight="1" x14ac:dyDescent="0.2">
      <c r="B499" s="513"/>
      <c r="C499" s="513"/>
      <c r="D499" s="513"/>
      <c r="E499" s="513"/>
      <c r="F499" s="513"/>
      <c r="G499" s="513"/>
      <c r="H499" s="513"/>
      <c r="I499" s="513"/>
      <c r="J499" s="513"/>
      <c r="K499" s="513"/>
      <c r="L499" s="513"/>
    </row>
    <row r="500" spans="2:12" s="340" customFormat="1" ht="13.5" hidden="1" customHeight="1" x14ac:dyDescent="0.2">
      <c r="B500" s="513"/>
      <c r="C500" s="513"/>
      <c r="D500" s="513"/>
      <c r="E500" s="513"/>
      <c r="F500" s="513"/>
      <c r="G500" s="513"/>
      <c r="H500" s="513"/>
      <c r="I500" s="513"/>
      <c r="J500" s="513"/>
      <c r="K500" s="513"/>
      <c r="L500" s="513"/>
    </row>
    <row r="501" spans="2:12" s="340" customFormat="1" ht="13.5" hidden="1" customHeight="1" x14ac:dyDescent="0.2">
      <c r="B501" s="513"/>
      <c r="C501" s="513"/>
      <c r="D501" s="513"/>
      <c r="E501" s="513"/>
      <c r="F501" s="513"/>
      <c r="G501" s="513"/>
      <c r="H501" s="513"/>
      <c r="I501" s="513"/>
      <c r="J501" s="513"/>
      <c r="K501" s="513"/>
      <c r="L501" s="513"/>
    </row>
    <row r="502" spans="2:12" s="340" customFormat="1" ht="13.5" hidden="1" customHeight="1" x14ac:dyDescent="0.2">
      <c r="B502" s="513"/>
      <c r="C502" s="513"/>
      <c r="D502" s="513"/>
      <c r="E502" s="513"/>
      <c r="F502" s="513"/>
      <c r="G502" s="513"/>
      <c r="H502" s="513"/>
      <c r="I502" s="513"/>
      <c r="J502" s="513"/>
      <c r="K502" s="513"/>
      <c r="L502" s="513"/>
    </row>
    <row r="503" spans="2:12" s="340" customFormat="1" ht="13.5" hidden="1" customHeight="1" x14ac:dyDescent="0.2">
      <c r="B503" s="513"/>
      <c r="C503" s="513"/>
      <c r="D503" s="513"/>
      <c r="E503" s="513"/>
      <c r="F503" s="513"/>
      <c r="G503" s="513"/>
      <c r="H503" s="513"/>
      <c r="I503" s="513"/>
      <c r="J503" s="513"/>
      <c r="K503" s="513"/>
      <c r="L503" s="513"/>
    </row>
    <row r="504" spans="2:12" s="340" customFormat="1" ht="13.5" hidden="1" customHeight="1" x14ac:dyDescent="0.2">
      <c r="B504" s="513"/>
      <c r="C504" s="513"/>
      <c r="D504" s="513"/>
      <c r="E504" s="513"/>
      <c r="F504" s="513"/>
      <c r="G504" s="513"/>
      <c r="H504" s="513"/>
      <c r="I504" s="513"/>
      <c r="J504" s="513"/>
      <c r="K504" s="513"/>
      <c r="L504" s="513"/>
    </row>
    <row r="505" spans="2:12" s="340" customFormat="1" ht="13.5" hidden="1" customHeight="1" x14ac:dyDescent="0.2">
      <c r="B505" s="513"/>
      <c r="C505" s="513"/>
      <c r="D505" s="513"/>
      <c r="E505" s="513"/>
      <c r="F505" s="513"/>
      <c r="G505" s="513"/>
      <c r="H505" s="513"/>
      <c r="I505" s="513"/>
      <c r="J505" s="513"/>
      <c r="K505" s="513"/>
      <c r="L505" s="513"/>
    </row>
    <row r="506" spans="2:12" s="340" customFormat="1" ht="13.5" hidden="1" customHeight="1" x14ac:dyDescent="0.2">
      <c r="B506" s="513"/>
      <c r="C506" s="513"/>
      <c r="D506" s="513"/>
      <c r="E506" s="513"/>
      <c r="F506" s="513"/>
      <c r="G506" s="513"/>
      <c r="H506" s="513"/>
      <c r="I506" s="513"/>
      <c r="J506" s="513"/>
      <c r="K506" s="513"/>
      <c r="L506" s="513"/>
    </row>
    <row r="507" spans="2:12" s="340" customFormat="1" ht="13.5" hidden="1" customHeight="1" x14ac:dyDescent="0.2">
      <c r="B507" s="513"/>
      <c r="C507" s="513"/>
      <c r="D507" s="513"/>
      <c r="E507" s="513"/>
      <c r="F507" s="513"/>
      <c r="G507" s="513"/>
      <c r="H507" s="513"/>
      <c r="I507" s="513"/>
      <c r="J507" s="513"/>
      <c r="K507" s="513"/>
      <c r="L507" s="513"/>
    </row>
    <row r="508" spans="2:12" s="340" customFormat="1" ht="13.5" hidden="1" customHeight="1" x14ac:dyDescent="0.2">
      <c r="B508" s="513"/>
      <c r="C508" s="513"/>
      <c r="D508" s="513"/>
      <c r="E508" s="513"/>
      <c r="F508" s="513"/>
      <c r="G508" s="513"/>
      <c r="H508" s="513"/>
      <c r="I508" s="513"/>
      <c r="J508" s="513"/>
      <c r="K508" s="513"/>
      <c r="L508" s="513"/>
    </row>
    <row r="509" spans="2:12" s="340" customFormat="1" ht="13.5" hidden="1" customHeight="1" x14ac:dyDescent="0.2">
      <c r="B509" s="513"/>
      <c r="C509" s="513"/>
      <c r="D509" s="513"/>
      <c r="E509" s="513"/>
      <c r="F509" s="513"/>
      <c r="G509" s="513"/>
      <c r="H509" s="513"/>
      <c r="I509" s="513"/>
      <c r="J509" s="513"/>
      <c r="K509" s="513"/>
      <c r="L509" s="513"/>
    </row>
    <row r="510" spans="2:12" s="340" customFormat="1" ht="13.5" hidden="1" customHeight="1" x14ac:dyDescent="0.2">
      <c r="B510" s="513"/>
      <c r="C510" s="513"/>
      <c r="D510" s="513"/>
      <c r="E510" s="513"/>
      <c r="F510" s="513"/>
      <c r="G510" s="513"/>
      <c r="H510" s="513"/>
      <c r="I510" s="513"/>
      <c r="J510" s="513"/>
      <c r="K510" s="513"/>
      <c r="L510" s="513"/>
    </row>
    <row r="511" spans="2:12" s="340" customFormat="1" ht="13.5" hidden="1" customHeight="1" x14ac:dyDescent="0.2">
      <c r="B511" s="513"/>
      <c r="C511" s="513"/>
      <c r="D511" s="513"/>
      <c r="E511" s="513"/>
      <c r="F511" s="513"/>
      <c r="G511" s="513"/>
      <c r="H511" s="513"/>
      <c r="I511" s="513"/>
      <c r="J511" s="513"/>
      <c r="K511" s="513"/>
      <c r="L511" s="513"/>
    </row>
    <row r="512" spans="2:12" s="340" customFormat="1" ht="13.5" hidden="1" customHeight="1" x14ac:dyDescent="0.2">
      <c r="B512" s="513"/>
      <c r="C512" s="513"/>
      <c r="D512" s="513"/>
      <c r="E512" s="513"/>
      <c r="F512" s="513"/>
      <c r="G512" s="513"/>
      <c r="H512" s="513"/>
      <c r="I512" s="513"/>
      <c r="J512" s="513"/>
      <c r="K512" s="513"/>
      <c r="L512" s="513"/>
    </row>
    <row r="513" spans="2:12" s="340" customFormat="1" ht="13.5" hidden="1" customHeight="1" x14ac:dyDescent="0.2">
      <c r="B513" s="513"/>
      <c r="C513" s="513"/>
      <c r="D513" s="513"/>
      <c r="E513" s="513"/>
      <c r="F513" s="513"/>
      <c r="G513" s="513"/>
      <c r="H513" s="513"/>
      <c r="I513" s="513"/>
      <c r="J513" s="513"/>
      <c r="K513" s="513"/>
      <c r="L513" s="513"/>
    </row>
    <row r="514" spans="2:12" s="340" customFormat="1" ht="13.5" hidden="1" customHeight="1" x14ac:dyDescent="0.2">
      <c r="B514" s="513"/>
      <c r="C514" s="513"/>
      <c r="D514" s="513"/>
      <c r="E514" s="513"/>
      <c r="F514" s="513"/>
      <c r="G514" s="513"/>
      <c r="H514" s="513"/>
      <c r="I514" s="513"/>
      <c r="J514" s="513"/>
      <c r="K514" s="513"/>
      <c r="L514" s="513"/>
    </row>
    <row r="515" spans="2:12" s="340" customFormat="1" ht="13.5" hidden="1" customHeight="1" x14ac:dyDescent="0.2">
      <c r="B515" s="513"/>
      <c r="C515" s="513"/>
      <c r="D515" s="513"/>
      <c r="E515" s="513"/>
      <c r="F515" s="513"/>
      <c r="G515" s="513"/>
      <c r="H515" s="513"/>
      <c r="I515" s="513"/>
      <c r="J515" s="513"/>
      <c r="K515" s="513"/>
      <c r="L515" s="513"/>
    </row>
    <row r="516" spans="2:12" s="340" customFormat="1" ht="13.5" hidden="1" customHeight="1" x14ac:dyDescent="0.2">
      <c r="B516" s="513"/>
      <c r="C516" s="513"/>
      <c r="D516" s="513"/>
      <c r="E516" s="513"/>
      <c r="F516" s="513"/>
      <c r="G516" s="513"/>
      <c r="H516" s="513"/>
      <c r="I516" s="513"/>
      <c r="J516" s="513"/>
      <c r="K516" s="513"/>
      <c r="L516" s="513"/>
    </row>
    <row r="517" spans="2:12" s="340" customFormat="1" ht="13.5" hidden="1" customHeight="1" x14ac:dyDescent="0.2">
      <c r="B517" s="513"/>
      <c r="C517" s="513"/>
      <c r="D517" s="513"/>
      <c r="E517" s="513"/>
      <c r="F517" s="513"/>
      <c r="G517" s="513"/>
      <c r="H517" s="513"/>
      <c r="I517" s="513"/>
      <c r="J517" s="513"/>
      <c r="K517" s="513"/>
      <c r="L517" s="513"/>
    </row>
    <row r="518" spans="2:12" s="340" customFormat="1" ht="13.5" hidden="1" customHeight="1" x14ac:dyDescent="0.2">
      <c r="B518" s="513"/>
      <c r="C518" s="513"/>
      <c r="D518" s="513"/>
      <c r="E518" s="513"/>
      <c r="F518" s="513"/>
      <c r="G518" s="513"/>
      <c r="H518" s="513"/>
      <c r="I518" s="513"/>
      <c r="J518" s="513"/>
      <c r="K518" s="513"/>
      <c r="L518" s="513"/>
    </row>
    <row r="519" spans="2:12" s="340" customFormat="1" ht="13.5" hidden="1" customHeight="1" x14ac:dyDescent="0.2">
      <c r="B519" s="513"/>
      <c r="C519" s="513"/>
      <c r="D519" s="513"/>
      <c r="E519" s="513"/>
      <c r="F519" s="513"/>
      <c r="G519" s="513"/>
      <c r="H519" s="513"/>
      <c r="I519" s="513"/>
      <c r="J519" s="513"/>
      <c r="K519" s="513"/>
      <c r="L519" s="513"/>
    </row>
    <row r="520" spans="2:12" s="340" customFormat="1" ht="13.5" hidden="1" customHeight="1" x14ac:dyDescent="0.2">
      <c r="B520" s="513"/>
      <c r="C520" s="513"/>
      <c r="D520" s="513"/>
      <c r="E520" s="513"/>
      <c r="F520" s="513"/>
      <c r="G520" s="513"/>
      <c r="H520" s="513"/>
      <c r="I520" s="513"/>
      <c r="J520" s="513"/>
      <c r="K520" s="513"/>
      <c r="L520" s="513"/>
    </row>
    <row r="521" spans="2:12" s="340" customFormat="1" ht="13.5" hidden="1" customHeight="1" x14ac:dyDescent="0.2">
      <c r="B521" s="513"/>
      <c r="C521" s="513"/>
      <c r="D521" s="513"/>
      <c r="E521" s="513"/>
      <c r="F521" s="513"/>
      <c r="G521" s="513"/>
      <c r="H521" s="513"/>
      <c r="I521" s="513"/>
      <c r="J521" s="513"/>
      <c r="K521" s="513"/>
      <c r="L521" s="513"/>
    </row>
    <row r="522" spans="2:12" s="340" customFormat="1" ht="13.5" hidden="1" customHeight="1" x14ac:dyDescent="0.2">
      <c r="B522" s="513"/>
      <c r="C522" s="513"/>
      <c r="D522" s="513"/>
      <c r="E522" s="513"/>
      <c r="F522" s="513"/>
      <c r="G522" s="513"/>
      <c r="H522" s="513"/>
      <c r="I522" s="513"/>
      <c r="J522" s="513"/>
      <c r="K522" s="513"/>
      <c r="L522" s="513"/>
    </row>
    <row r="523" spans="2:12" s="340" customFormat="1" ht="13.5" hidden="1" customHeight="1" x14ac:dyDescent="0.2">
      <c r="B523" s="513"/>
      <c r="C523" s="513"/>
      <c r="D523" s="513"/>
      <c r="E523" s="513"/>
      <c r="F523" s="513"/>
      <c r="G523" s="513"/>
      <c r="H523" s="513"/>
      <c r="I523" s="513"/>
      <c r="J523" s="513"/>
      <c r="K523" s="513"/>
      <c r="L523" s="513"/>
    </row>
    <row r="524" spans="2:12" s="340" customFormat="1" ht="13.5" hidden="1" customHeight="1" x14ac:dyDescent="0.2">
      <c r="B524" s="513"/>
      <c r="C524" s="513"/>
      <c r="D524" s="513"/>
      <c r="E524" s="513"/>
      <c r="F524" s="513"/>
      <c r="G524" s="513"/>
      <c r="H524" s="513"/>
      <c r="I524" s="513"/>
      <c r="J524" s="513"/>
      <c r="K524" s="513"/>
      <c r="L524" s="513"/>
    </row>
    <row r="525" spans="2:12" s="340" customFormat="1" ht="13.5" hidden="1" customHeight="1" x14ac:dyDescent="0.2">
      <c r="B525" s="513"/>
      <c r="C525" s="513"/>
      <c r="D525" s="513"/>
      <c r="E525" s="513"/>
      <c r="F525" s="513"/>
      <c r="G525" s="513"/>
      <c r="H525" s="513"/>
      <c r="I525" s="513"/>
      <c r="J525" s="513"/>
      <c r="K525" s="513"/>
      <c r="L525" s="513"/>
    </row>
    <row r="526" spans="2:12" s="340" customFormat="1" ht="13.5" hidden="1" customHeight="1" x14ac:dyDescent="0.2">
      <c r="B526" s="513"/>
      <c r="C526" s="513"/>
      <c r="D526" s="513"/>
      <c r="E526" s="513"/>
      <c r="F526" s="513"/>
      <c r="G526" s="513"/>
      <c r="H526" s="513"/>
      <c r="I526" s="513"/>
      <c r="J526" s="513"/>
      <c r="K526" s="513"/>
      <c r="L526" s="513"/>
    </row>
    <row r="527" spans="2:12" s="340" customFormat="1" ht="13.5" hidden="1" customHeight="1" x14ac:dyDescent="0.2">
      <c r="B527" s="513"/>
      <c r="C527" s="513"/>
      <c r="D527" s="513"/>
      <c r="E527" s="513"/>
      <c r="F527" s="513"/>
      <c r="G527" s="513"/>
      <c r="H527" s="513"/>
      <c r="I527" s="513"/>
      <c r="J527" s="513"/>
      <c r="K527" s="513"/>
      <c r="L527" s="513"/>
    </row>
    <row r="528" spans="2:12" s="340" customFormat="1" ht="13.5" hidden="1" customHeight="1" x14ac:dyDescent="0.2">
      <c r="B528" s="513"/>
      <c r="C528" s="513"/>
      <c r="D528" s="513"/>
      <c r="E528" s="513"/>
      <c r="F528" s="513"/>
      <c r="G528" s="513"/>
      <c r="H528" s="513"/>
      <c r="I528" s="513"/>
      <c r="J528" s="513"/>
      <c r="K528" s="513"/>
      <c r="L528" s="513"/>
    </row>
    <row r="529" spans="2:12" s="340" customFormat="1" ht="13.5" hidden="1" customHeight="1" x14ac:dyDescent="0.2">
      <c r="B529" s="513"/>
      <c r="C529" s="513"/>
      <c r="D529" s="513"/>
      <c r="E529" s="513"/>
      <c r="F529" s="513"/>
      <c r="G529" s="513"/>
      <c r="H529" s="513"/>
      <c r="I529" s="513"/>
      <c r="J529" s="513"/>
      <c r="K529" s="513"/>
      <c r="L529" s="513"/>
    </row>
    <row r="530" spans="2:12" s="340" customFormat="1" ht="13.5" hidden="1" customHeight="1" x14ac:dyDescent="0.2">
      <c r="B530" s="513"/>
      <c r="C530" s="513"/>
      <c r="D530" s="513"/>
      <c r="E530" s="513"/>
      <c r="F530" s="513"/>
      <c r="G530" s="513"/>
      <c r="H530" s="513"/>
      <c r="I530" s="513"/>
      <c r="J530" s="513"/>
      <c r="K530" s="513"/>
      <c r="L530" s="513"/>
    </row>
    <row r="531" spans="2:12" s="340" customFormat="1" ht="13.5" hidden="1" customHeight="1" x14ac:dyDescent="0.2">
      <c r="B531" s="513"/>
      <c r="C531" s="513"/>
      <c r="D531" s="513"/>
      <c r="E531" s="513"/>
      <c r="F531" s="513"/>
      <c r="G531" s="513"/>
      <c r="H531" s="513"/>
      <c r="I531" s="513"/>
      <c r="J531" s="513"/>
      <c r="K531" s="513"/>
      <c r="L531" s="513"/>
    </row>
    <row r="532" spans="2:12" s="340" customFormat="1" ht="13.5" hidden="1" customHeight="1" x14ac:dyDescent="0.2">
      <c r="B532" s="513"/>
      <c r="C532" s="513"/>
      <c r="D532" s="513"/>
      <c r="E532" s="513"/>
      <c r="F532" s="513"/>
      <c r="G532" s="513"/>
      <c r="H532" s="513"/>
      <c r="I532" s="513"/>
      <c r="J532" s="513"/>
      <c r="K532" s="513"/>
      <c r="L532" s="513"/>
    </row>
    <row r="533" spans="2:12" s="340" customFormat="1" ht="13.5" hidden="1" customHeight="1" x14ac:dyDescent="0.2">
      <c r="B533" s="513"/>
      <c r="C533" s="513"/>
      <c r="D533" s="513"/>
      <c r="E533" s="513"/>
      <c r="F533" s="513"/>
      <c r="G533" s="513"/>
      <c r="H533" s="513"/>
      <c r="I533" s="513"/>
      <c r="J533" s="513"/>
      <c r="K533" s="513"/>
      <c r="L533" s="513"/>
    </row>
    <row r="534" spans="2:12" s="340" customFormat="1" ht="13.5" hidden="1" customHeight="1" x14ac:dyDescent="0.2">
      <c r="B534" s="513"/>
      <c r="C534" s="513"/>
      <c r="D534" s="513"/>
      <c r="E534" s="513"/>
      <c r="F534" s="513"/>
      <c r="G534" s="513"/>
      <c r="H534" s="513"/>
      <c r="I534" s="513"/>
      <c r="J534" s="513"/>
      <c r="K534" s="513"/>
      <c r="L534" s="513"/>
    </row>
    <row r="535" spans="2:12" s="340" customFormat="1" ht="13.5" hidden="1" customHeight="1" x14ac:dyDescent="0.2">
      <c r="B535" s="513"/>
      <c r="C535" s="513"/>
      <c r="D535" s="513"/>
      <c r="E535" s="513"/>
      <c r="F535" s="513"/>
      <c r="G535" s="513"/>
      <c r="H535" s="513"/>
      <c r="I535" s="513"/>
      <c r="J535" s="513"/>
      <c r="K535" s="513"/>
      <c r="L535" s="513"/>
    </row>
    <row r="536" spans="2:12" s="340" customFormat="1" ht="13.5" hidden="1" customHeight="1" x14ac:dyDescent="0.2">
      <c r="B536" s="513"/>
      <c r="C536" s="513"/>
      <c r="D536" s="513"/>
      <c r="E536" s="513"/>
      <c r="F536" s="513"/>
      <c r="G536" s="513"/>
      <c r="H536" s="513"/>
      <c r="I536" s="513"/>
      <c r="J536" s="513"/>
      <c r="K536" s="513"/>
      <c r="L536" s="513"/>
    </row>
    <row r="537" spans="2:12" s="340" customFormat="1" ht="13.5" hidden="1" customHeight="1" x14ac:dyDescent="0.2">
      <c r="B537" s="513"/>
      <c r="C537" s="513"/>
      <c r="D537" s="513"/>
      <c r="E537" s="513"/>
      <c r="F537" s="513"/>
      <c r="G537" s="513"/>
      <c r="H537" s="513"/>
      <c r="I537" s="513"/>
      <c r="J537" s="513"/>
      <c r="K537" s="513"/>
      <c r="L537" s="513"/>
    </row>
    <row r="538" spans="2:12" s="340" customFormat="1" ht="13.5" hidden="1" customHeight="1" x14ac:dyDescent="0.2">
      <c r="B538" s="513"/>
      <c r="C538" s="513"/>
      <c r="D538" s="513"/>
      <c r="E538" s="513"/>
      <c r="F538" s="513"/>
      <c r="G538" s="513"/>
      <c r="H538" s="513"/>
      <c r="I538" s="513"/>
      <c r="J538" s="513"/>
      <c r="K538" s="513"/>
      <c r="L538" s="513"/>
    </row>
    <row r="539" spans="2:12" s="340" customFormat="1" ht="13.5" hidden="1" customHeight="1" x14ac:dyDescent="0.2">
      <c r="B539" s="513"/>
      <c r="C539" s="513"/>
      <c r="D539" s="513"/>
      <c r="E539" s="513"/>
      <c r="F539" s="513"/>
      <c r="G539" s="513"/>
      <c r="H539" s="513"/>
      <c r="I539" s="513"/>
      <c r="J539" s="513"/>
      <c r="K539" s="513"/>
      <c r="L539" s="513"/>
    </row>
    <row r="540" spans="2:12" s="340" customFormat="1" ht="13.5" hidden="1" customHeight="1" x14ac:dyDescent="0.2">
      <c r="B540" s="513"/>
      <c r="C540" s="513"/>
      <c r="D540" s="513"/>
      <c r="E540" s="513"/>
      <c r="F540" s="513"/>
      <c r="G540" s="513"/>
      <c r="H540" s="513"/>
      <c r="I540" s="513"/>
      <c r="J540" s="513"/>
      <c r="K540" s="513"/>
      <c r="L540" s="513"/>
    </row>
    <row r="541" spans="2:12" s="340" customFormat="1" ht="13.5" hidden="1" customHeight="1" x14ac:dyDescent="0.2">
      <c r="B541" s="513"/>
      <c r="C541" s="513"/>
      <c r="D541" s="513"/>
      <c r="E541" s="513"/>
      <c r="F541" s="513"/>
      <c r="G541" s="513"/>
      <c r="H541" s="513"/>
      <c r="I541" s="513"/>
      <c r="J541" s="513"/>
      <c r="K541" s="513"/>
      <c r="L541" s="513"/>
    </row>
    <row r="542" spans="2:12" s="340" customFormat="1" ht="13.5" hidden="1" customHeight="1" x14ac:dyDescent="0.2">
      <c r="B542" s="513"/>
      <c r="C542" s="513"/>
      <c r="D542" s="513"/>
      <c r="E542" s="513"/>
      <c r="F542" s="513"/>
      <c r="G542" s="513"/>
      <c r="H542" s="513"/>
      <c r="I542" s="513"/>
      <c r="J542" s="513"/>
      <c r="K542" s="513"/>
      <c r="L542" s="513"/>
    </row>
    <row r="543" spans="2:12" s="340" customFormat="1" ht="13.5" hidden="1" customHeight="1" x14ac:dyDescent="0.2">
      <c r="B543" s="513"/>
      <c r="C543" s="513"/>
      <c r="D543" s="513"/>
      <c r="E543" s="513"/>
      <c r="F543" s="513"/>
      <c r="G543" s="513"/>
      <c r="H543" s="513"/>
      <c r="I543" s="513"/>
      <c r="J543" s="513"/>
      <c r="K543" s="513"/>
      <c r="L543" s="513"/>
    </row>
    <row r="544" spans="2:12" s="340" customFormat="1" ht="13.5" hidden="1" customHeight="1" x14ac:dyDescent="0.2">
      <c r="B544" s="513"/>
      <c r="C544" s="513"/>
      <c r="D544" s="513"/>
      <c r="E544" s="513"/>
      <c r="F544" s="513"/>
      <c r="G544" s="513"/>
      <c r="H544" s="513"/>
      <c r="I544" s="513"/>
      <c r="J544" s="513"/>
      <c r="K544" s="513"/>
      <c r="L544" s="513"/>
    </row>
    <row r="545" spans="2:12" s="340" customFormat="1" ht="13.5" hidden="1" customHeight="1" x14ac:dyDescent="0.2">
      <c r="B545" s="513"/>
      <c r="C545" s="513"/>
      <c r="D545" s="513"/>
      <c r="E545" s="513"/>
      <c r="F545" s="513"/>
      <c r="G545" s="513"/>
      <c r="H545" s="513"/>
      <c r="I545" s="513"/>
      <c r="J545" s="513"/>
      <c r="K545" s="513"/>
      <c r="L545" s="513"/>
    </row>
    <row r="546" spans="2:12" s="340" customFormat="1" ht="13.5" hidden="1" customHeight="1" x14ac:dyDescent="0.2">
      <c r="B546" s="513"/>
      <c r="C546" s="513"/>
      <c r="D546" s="513"/>
      <c r="E546" s="513"/>
      <c r="F546" s="513"/>
      <c r="G546" s="513"/>
      <c r="H546" s="513"/>
      <c r="I546" s="513"/>
      <c r="J546" s="513"/>
      <c r="K546" s="513"/>
      <c r="L546" s="513"/>
    </row>
    <row r="547" spans="2:12" s="340" customFormat="1" ht="13.5" hidden="1" customHeight="1" x14ac:dyDescent="0.2">
      <c r="B547" s="513"/>
      <c r="C547" s="513"/>
      <c r="D547" s="513"/>
      <c r="E547" s="513"/>
      <c r="F547" s="513"/>
      <c r="G547" s="513"/>
      <c r="H547" s="513"/>
      <c r="I547" s="513"/>
      <c r="J547" s="513"/>
      <c r="K547" s="513"/>
      <c r="L547" s="513"/>
    </row>
    <row r="548" spans="2:12" s="340" customFormat="1" ht="13.5" hidden="1" customHeight="1" x14ac:dyDescent="0.2">
      <c r="B548" s="513"/>
      <c r="C548" s="513"/>
      <c r="D548" s="513"/>
      <c r="E548" s="513"/>
      <c r="F548" s="513"/>
      <c r="G548" s="513"/>
      <c r="H548" s="513"/>
      <c r="I548" s="513"/>
      <c r="J548" s="513"/>
      <c r="K548" s="513"/>
      <c r="L548" s="513"/>
    </row>
    <row r="549" spans="2:12" s="340" customFormat="1" ht="13.5" hidden="1" customHeight="1" x14ac:dyDescent="0.2">
      <c r="B549" s="513"/>
      <c r="C549" s="513"/>
      <c r="D549" s="513"/>
      <c r="E549" s="513"/>
      <c r="F549" s="513"/>
      <c r="G549" s="513"/>
      <c r="H549" s="513"/>
      <c r="I549" s="513"/>
      <c r="J549" s="513"/>
      <c r="K549" s="513"/>
      <c r="L549" s="513"/>
    </row>
    <row r="550" spans="2:12" s="340" customFormat="1" ht="13.5" hidden="1" customHeight="1" x14ac:dyDescent="0.2">
      <c r="B550" s="513"/>
      <c r="C550" s="513"/>
      <c r="D550" s="513"/>
      <c r="E550" s="513"/>
      <c r="F550" s="513"/>
      <c r="G550" s="513"/>
      <c r="H550" s="513"/>
      <c r="I550" s="513"/>
      <c r="J550" s="513"/>
      <c r="K550" s="513"/>
      <c r="L550" s="513"/>
    </row>
    <row r="551" spans="2:12" s="340" customFormat="1" ht="13.5" hidden="1" customHeight="1" x14ac:dyDescent="0.2">
      <c r="B551" s="513"/>
      <c r="C551" s="513"/>
      <c r="D551" s="513"/>
      <c r="E551" s="513"/>
      <c r="F551" s="513"/>
      <c r="G551" s="513"/>
      <c r="H551" s="513"/>
      <c r="I551" s="513"/>
      <c r="J551" s="513"/>
      <c r="K551" s="513"/>
      <c r="L551" s="513"/>
    </row>
    <row r="552" spans="2:12" s="340" customFormat="1" ht="13.5" hidden="1" customHeight="1" x14ac:dyDescent="0.2">
      <c r="B552" s="513"/>
      <c r="C552" s="513"/>
      <c r="D552" s="513"/>
      <c r="E552" s="513"/>
      <c r="F552" s="513"/>
      <c r="G552" s="513"/>
      <c r="H552" s="513"/>
      <c r="I552" s="513"/>
      <c r="J552" s="513"/>
      <c r="K552" s="513"/>
      <c r="L552" s="513"/>
    </row>
    <row r="553" spans="2:12" s="340" customFormat="1" ht="13.5" hidden="1" customHeight="1" x14ac:dyDescent="0.2">
      <c r="B553" s="513"/>
      <c r="C553" s="513"/>
      <c r="D553" s="513"/>
      <c r="E553" s="513"/>
      <c r="F553" s="513"/>
      <c r="G553" s="513"/>
      <c r="H553" s="513"/>
      <c r="I553" s="513"/>
      <c r="J553" s="513"/>
      <c r="K553" s="513"/>
      <c r="L553" s="513"/>
    </row>
    <row r="554" spans="2:12" s="340" customFormat="1" ht="13.5" hidden="1" customHeight="1" x14ac:dyDescent="0.2">
      <c r="B554" s="513"/>
      <c r="C554" s="513"/>
      <c r="D554" s="513"/>
      <c r="E554" s="513"/>
      <c r="F554" s="513"/>
      <c r="G554" s="513"/>
      <c r="H554" s="513"/>
      <c r="I554" s="513"/>
      <c r="J554" s="513"/>
      <c r="K554" s="513"/>
      <c r="L554" s="513"/>
    </row>
    <row r="555" spans="2:12" s="340" customFormat="1" ht="13.5" hidden="1" customHeight="1" x14ac:dyDescent="0.2">
      <c r="B555" s="513"/>
      <c r="C555" s="513"/>
      <c r="D555" s="513"/>
      <c r="E555" s="513"/>
      <c r="F555" s="513"/>
      <c r="G555" s="513"/>
      <c r="H555" s="513"/>
      <c r="I555" s="513"/>
      <c r="J555" s="513"/>
      <c r="K555" s="513"/>
      <c r="L555" s="513"/>
    </row>
    <row r="556" spans="2:12" s="340" customFormat="1" ht="13.5" hidden="1" customHeight="1" x14ac:dyDescent="0.2">
      <c r="B556" s="513"/>
      <c r="C556" s="513"/>
      <c r="D556" s="513"/>
      <c r="E556" s="513"/>
      <c r="F556" s="513"/>
      <c r="G556" s="513"/>
      <c r="H556" s="513"/>
      <c r="I556" s="513"/>
      <c r="J556" s="513"/>
      <c r="K556" s="513"/>
      <c r="L556" s="513"/>
    </row>
    <row r="557" spans="2:12" s="340" customFormat="1" ht="13.5" hidden="1" customHeight="1" x14ac:dyDescent="0.2">
      <c r="B557" s="513"/>
      <c r="C557" s="513"/>
      <c r="D557" s="513"/>
      <c r="E557" s="513"/>
      <c r="F557" s="513"/>
      <c r="G557" s="513"/>
      <c r="H557" s="513"/>
      <c r="I557" s="513"/>
      <c r="J557" s="513"/>
      <c r="K557" s="513"/>
      <c r="L557" s="513"/>
    </row>
    <row r="558" spans="2:12" s="340" customFormat="1" ht="13.5" hidden="1" customHeight="1" x14ac:dyDescent="0.2">
      <c r="B558" s="513"/>
      <c r="C558" s="513"/>
      <c r="D558" s="513"/>
      <c r="E558" s="513"/>
      <c r="F558" s="513"/>
      <c r="G558" s="513"/>
      <c r="H558" s="513"/>
      <c r="I558" s="513"/>
      <c r="J558" s="513"/>
      <c r="K558" s="513"/>
      <c r="L558" s="513"/>
    </row>
    <row r="559" spans="2:12" s="340" customFormat="1" ht="13.5" hidden="1" customHeight="1" x14ac:dyDescent="0.2">
      <c r="B559" s="513"/>
      <c r="C559" s="513"/>
      <c r="D559" s="513"/>
      <c r="E559" s="513"/>
      <c r="F559" s="513"/>
      <c r="G559" s="513"/>
      <c r="H559" s="513"/>
      <c r="I559" s="513"/>
      <c r="J559" s="513"/>
      <c r="K559" s="513"/>
      <c r="L559" s="513"/>
    </row>
    <row r="560" spans="2:12" s="340" customFormat="1" ht="13.5" hidden="1" customHeight="1" x14ac:dyDescent="0.2">
      <c r="B560" s="513"/>
      <c r="C560" s="513"/>
      <c r="D560" s="513"/>
      <c r="E560" s="513"/>
      <c r="F560" s="513"/>
      <c r="G560" s="513"/>
      <c r="H560" s="513"/>
      <c r="I560" s="513"/>
      <c r="J560" s="513"/>
      <c r="K560" s="513"/>
      <c r="L560" s="513"/>
    </row>
    <row r="561" spans="2:12" s="340" customFormat="1" ht="13.5" hidden="1" customHeight="1" x14ac:dyDescent="0.2">
      <c r="B561" s="513"/>
      <c r="C561" s="513"/>
      <c r="D561" s="513"/>
      <c r="E561" s="513"/>
      <c r="F561" s="513"/>
      <c r="G561" s="513"/>
      <c r="H561" s="513"/>
      <c r="I561" s="513"/>
      <c r="J561" s="513"/>
      <c r="K561" s="513"/>
      <c r="L561" s="513"/>
    </row>
    <row r="562" spans="2:12" s="340" customFormat="1" ht="13.5" hidden="1" customHeight="1" x14ac:dyDescent="0.2">
      <c r="B562" s="513"/>
      <c r="C562" s="513"/>
      <c r="D562" s="513"/>
      <c r="E562" s="513"/>
      <c r="F562" s="513"/>
      <c r="G562" s="513"/>
      <c r="H562" s="513"/>
      <c r="I562" s="513"/>
      <c r="J562" s="513"/>
      <c r="K562" s="513"/>
      <c r="L562" s="513"/>
    </row>
    <row r="563" spans="2:12" s="340" customFormat="1" ht="13.5" hidden="1" customHeight="1" x14ac:dyDescent="0.2">
      <c r="B563" s="513"/>
      <c r="C563" s="513"/>
      <c r="D563" s="513"/>
      <c r="E563" s="513"/>
      <c r="F563" s="513"/>
      <c r="G563" s="513"/>
      <c r="H563" s="513"/>
      <c r="I563" s="513"/>
      <c r="J563" s="513"/>
      <c r="K563" s="513"/>
      <c r="L563" s="513"/>
    </row>
    <row r="564" spans="2:12" s="340" customFormat="1" ht="13.5" hidden="1" customHeight="1" x14ac:dyDescent="0.2">
      <c r="B564" s="513"/>
      <c r="C564" s="513"/>
      <c r="D564" s="513"/>
      <c r="E564" s="513"/>
      <c r="F564" s="513"/>
      <c r="G564" s="513"/>
      <c r="H564" s="513"/>
      <c r="I564" s="513"/>
      <c r="J564" s="513"/>
      <c r="K564" s="513"/>
      <c r="L564" s="513"/>
    </row>
    <row r="565" spans="2:12" s="340" customFormat="1" ht="13.5" hidden="1" customHeight="1" x14ac:dyDescent="0.2">
      <c r="B565" s="513"/>
      <c r="C565" s="513"/>
      <c r="D565" s="513"/>
      <c r="E565" s="513"/>
      <c r="F565" s="513"/>
      <c r="G565" s="513"/>
      <c r="H565" s="513"/>
      <c r="I565" s="513"/>
      <c r="J565" s="513"/>
      <c r="K565" s="513"/>
      <c r="L565" s="513"/>
    </row>
    <row r="566" spans="2:12" s="340" customFormat="1" ht="13.5" hidden="1" customHeight="1" x14ac:dyDescent="0.2">
      <c r="B566" s="513"/>
      <c r="C566" s="513"/>
      <c r="D566" s="513"/>
      <c r="E566" s="513"/>
      <c r="F566" s="513"/>
      <c r="G566" s="513"/>
      <c r="H566" s="513"/>
      <c r="I566" s="513"/>
      <c r="J566" s="513"/>
      <c r="K566" s="513"/>
      <c r="L566" s="513"/>
    </row>
    <row r="567" spans="2:12" s="340" customFormat="1" ht="13.5" hidden="1" customHeight="1" x14ac:dyDescent="0.2">
      <c r="B567" s="513"/>
      <c r="C567" s="513"/>
      <c r="D567" s="513"/>
      <c r="E567" s="513"/>
      <c r="F567" s="513"/>
      <c r="G567" s="513"/>
      <c r="H567" s="513"/>
      <c r="I567" s="513"/>
      <c r="J567" s="513"/>
      <c r="K567" s="513"/>
      <c r="L567" s="513"/>
    </row>
    <row r="568" spans="2:12" s="340" customFormat="1" ht="13.5" hidden="1" customHeight="1" x14ac:dyDescent="0.2">
      <c r="B568" s="513"/>
      <c r="C568" s="513"/>
      <c r="D568" s="513"/>
      <c r="E568" s="513"/>
      <c r="F568" s="513"/>
      <c r="G568" s="513"/>
      <c r="H568" s="513"/>
      <c r="I568" s="513"/>
      <c r="J568" s="513"/>
      <c r="K568" s="513"/>
      <c r="L568" s="513"/>
    </row>
    <row r="569" spans="2:12" s="340" customFormat="1" ht="13.5" hidden="1" customHeight="1" x14ac:dyDescent="0.2">
      <c r="B569" s="513"/>
      <c r="C569" s="513"/>
      <c r="D569" s="513"/>
      <c r="E569" s="513"/>
      <c r="F569" s="513"/>
      <c r="G569" s="513"/>
      <c r="H569" s="513"/>
      <c r="I569" s="513"/>
      <c r="J569" s="513"/>
      <c r="K569" s="513"/>
      <c r="L569" s="513"/>
    </row>
    <row r="570" spans="2:12" s="340" customFormat="1" ht="13.5" hidden="1" customHeight="1" x14ac:dyDescent="0.2">
      <c r="B570" s="513"/>
      <c r="C570" s="513"/>
      <c r="D570" s="513"/>
      <c r="E570" s="513"/>
      <c r="F570" s="513"/>
      <c r="G570" s="513"/>
      <c r="H570" s="513"/>
      <c r="I570" s="513"/>
      <c r="J570" s="513"/>
      <c r="K570" s="513"/>
      <c r="L570" s="513"/>
    </row>
    <row r="571" spans="2:12" s="340" customFormat="1" ht="13.5" hidden="1" customHeight="1" x14ac:dyDescent="0.2">
      <c r="B571" s="513"/>
      <c r="C571" s="513"/>
      <c r="D571" s="513"/>
      <c r="E571" s="513"/>
      <c r="F571" s="513"/>
      <c r="G571" s="513"/>
      <c r="H571" s="513"/>
      <c r="I571" s="513"/>
      <c r="J571" s="513"/>
      <c r="K571" s="513"/>
      <c r="L571" s="513"/>
    </row>
    <row r="572" spans="2:12" s="340" customFormat="1" ht="13.5" hidden="1" customHeight="1" x14ac:dyDescent="0.2">
      <c r="B572" s="513"/>
      <c r="C572" s="513"/>
      <c r="D572" s="513"/>
      <c r="E572" s="513"/>
      <c r="F572" s="513"/>
      <c r="G572" s="513"/>
      <c r="H572" s="513"/>
      <c r="I572" s="513"/>
      <c r="J572" s="513"/>
      <c r="K572" s="513"/>
      <c r="L572" s="513"/>
    </row>
    <row r="573" spans="2:12" s="340" customFormat="1" ht="13.5" hidden="1" customHeight="1" x14ac:dyDescent="0.2">
      <c r="B573" s="513"/>
      <c r="C573" s="513"/>
      <c r="D573" s="513"/>
      <c r="E573" s="513"/>
      <c r="F573" s="513"/>
      <c r="G573" s="513"/>
      <c r="H573" s="513"/>
      <c r="I573" s="513"/>
      <c r="J573" s="513"/>
      <c r="K573" s="513"/>
      <c r="L573" s="513"/>
    </row>
    <row r="574" spans="2:12" s="340" customFormat="1" ht="13.5" hidden="1" customHeight="1" x14ac:dyDescent="0.2">
      <c r="B574" s="513"/>
      <c r="C574" s="513"/>
      <c r="D574" s="513"/>
      <c r="E574" s="513"/>
      <c r="F574" s="513"/>
      <c r="G574" s="513"/>
      <c r="H574" s="513"/>
      <c r="I574" s="513"/>
      <c r="J574" s="513"/>
      <c r="K574" s="513"/>
      <c r="L574" s="513"/>
    </row>
    <row r="575" spans="2:12" s="340" customFormat="1" ht="13.5" hidden="1" customHeight="1" x14ac:dyDescent="0.2">
      <c r="B575" s="513"/>
      <c r="C575" s="513"/>
      <c r="D575" s="513"/>
      <c r="E575" s="513"/>
      <c r="F575" s="513"/>
      <c r="G575" s="513"/>
      <c r="H575" s="513"/>
      <c r="I575" s="513"/>
      <c r="J575" s="513"/>
      <c r="K575" s="513"/>
      <c r="L575" s="513"/>
    </row>
    <row r="576" spans="2:12" s="340" customFormat="1" ht="13.5" hidden="1" customHeight="1" x14ac:dyDescent="0.2">
      <c r="B576" s="513"/>
      <c r="C576" s="513"/>
      <c r="D576" s="513"/>
      <c r="E576" s="513"/>
      <c r="F576" s="513"/>
      <c r="G576" s="513"/>
      <c r="H576" s="513"/>
      <c r="I576" s="513"/>
      <c r="J576" s="513"/>
      <c r="K576" s="513"/>
      <c r="L576" s="513"/>
    </row>
    <row r="577" spans="2:12" s="340" customFormat="1" ht="13.5" hidden="1" customHeight="1" x14ac:dyDescent="0.2">
      <c r="B577" s="513"/>
      <c r="C577" s="513"/>
      <c r="D577" s="513"/>
      <c r="E577" s="513"/>
      <c r="F577" s="513"/>
      <c r="G577" s="513"/>
      <c r="H577" s="513"/>
      <c r="I577" s="513"/>
      <c r="J577" s="513"/>
      <c r="K577" s="513"/>
      <c r="L577" s="513"/>
    </row>
    <row r="578" spans="2:12" s="340" customFormat="1" ht="13.5" hidden="1" customHeight="1" x14ac:dyDescent="0.2">
      <c r="B578" s="513"/>
      <c r="C578" s="513"/>
      <c r="D578" s="513"/>
      <c r="E578" s="513"/>
      <c r="F578" s="513"/>
      <c r="G578" s="513"/>
      <c r="H578" s="513"/>
      <c r="I578" s="513"/>
      <c r="J578" s="513"/>
      <c r="K578" s="513"/>
      <c r="L578" s="513"/>
    </row>
    <row r="579" spans="2:12" s="340" customFormat="1" ht="13.5" hidden="1" customHeight="1" x14ac:dyDescent="0.2">
      <c r="B579" s="513"/>
      <c r="C579" s="513"/>
      <c r="D579" s="513"/>
      <c r="E579" s="513"/>
      <c r="F579" s="513"/>
      <c r="G579" s="513"/>
      <c r="H579" s="513"/>
      <c r="I579" s="513"/>
      <c r="J579" s="513"/>
      <c r="K579" s="513"/>
      <c r="L579" s="513"/>
    </row>
    <row r="580" spans="2:12" s="340" customFormat="1" ht="13.5" hidden="1" customHeight="1" x14ac:dyDescent="0.2">
      <c r="B580" s="513"/>
      <c r="C580" s="513"/>
      <c r="D580" s="513"/>
      <c r="E580" s="513"/>
      <c r="F580" s="513"/>
      <c r="G580" s="513"/>
      <c r="H580" s="513"/>
      <c r="I580" s="513"/>
      <c r="J580" s="513"/>
      <c r="K580" s="513"/>
      <c r="L580" s="513"/>
    </row>
    <row r="581" spans="2:12" s="340" customFormat="1" ht="13.5" hidden="1" customHeight="1" x14ac:dyDescent="0.2">
      <c r="B581" s="513"/>
      <c r="C581" s="513"/>
      <c r="D581" s="513"/>
      <c r="E581" s="513"/>
      <c r="F581" s="513"/>
      <c r="G581" s="513"/>
      <c r="H581" s="513"/>
      <c r="I581" s="513"/>
      <c r="J581" s="513"/>
      <c r="K581" s="513"/>
      <c r="L581" s="513"/>
    </row>
    <row r="582" spans="2:12" s="340" customFormat="1" ht="13.5" hidden="1" customHeight="1" x14ac:dyDescent="0.2">
      <c r="B582" s="513"/>
      <c r="C582" s="513"/>
      <c r="D582" s="513"/>
      <c r="E582" s="513"/>
      <c r="F582" s="513"/>
      <c r="G582" s="513"/>
      <c r="H582" s="513"/>
      <c r="I582" s="513"/>
      <c r="J582" s="513"/>
      <c r="K582" s="513"/>
      <c r="L582" s="513"/>
    </row>
    <row r="583" spans="2:12" s="340" customFormat="1" ht="13.5" hidden="1" customHeight="1" x14ac:dyDescent="0.2">
      <c r="B583" s="513"/>
      <c r="C583" s="513"/>
      <c r="D583" s="513"/>
      <c r="E583" s="513"/>
      <c r="F583" s="513"/>
      <c r="G583" s="513"/>
      <c r="H583" s="513"/>
      <c r="I583" s="513"/>
      <c r="J583" s="513"/>
      <c r="K583" s="513"/>
      <c r="L583" s="513"/>
    </row>
    <row r="584" spans="2:12" s="340" customFormat="1" ht="13.5" hidden="1" customHeight="1" x14ac:dyDescent="0.2">
      <c r="B584" s="513"/>
      <c r="C584" s="513"/>
      <c r="D584" s="513"/>
      <c r="E584" s="513"/>
      <c r="F584" s="513"/>
      <c r="G584" s="513"/>
      <c r="H584" s="513"/>
      <c r="I584" s="513"/>
      <c r="J584" s="513"/>
      <c r="K584" s="513"/>
      <c r="L584" s="513"/>
    </row>
    <row r="585" spans="2:12" s="340" customFormat="1" ht="13.5" hidden="1" customHeight="1" x14ac:dyDescent="0.2">
      <c r="B585" s="513"/>
      <c r="C585" s="513"/>
      <c r="D585" s="513"/>
      <c r="E585" s="513"/>
      <c r="F585" s="513"/>
      <c r="G585" s="513"/>
      <c r="H585" s="513"/>
      <c r="I585" s="513"/>
      <c r="J585" s="513"/>
      <c r="K585" s="513"/>
      <c r="L585" s="513"/>
    </row>
    <row r="586" spans="2:12" s="340" customFormat="1" ht="13.5" hidden="1" customHeight="1" x14ac:dyDescent="0.2">
      <c r="B586" s="513"/>
      <c r="C586" s="513"/>
      <c r="D586" s="513"/>
      <c r="E586" s="513"/>
      <c r="F586" s="513"/>
      <c r="G586" s="513"/>
      <c r="H586" s="513"/>
      <c r="I586" s="513"/>
      <c r="J586" s="513"/>
      <c r="K586" s="513"/>
      <c r="L586" s="513"/>
    </row>
    <row r="587" spans="2:12" s="340" customFormat="1" ht="13.5" hidden="1" customHeight="1" x14ac:dyDescent="0.2">
      <c r="B587" s="513"/>
      <c r="C587" s="513"/>
      <c r="D587" s="513"/>
      <c r="E587" s="513"/>
      <c r="F587" s="513"/>
      <c r="G587" s="513"/>
      <c r="H587" s="513"/>
      <c r="I587" s="513"/>
      <c r="J587" s="513"/>
      <c r="K587" s="513"/>
      <c r="L587" s="513"/>
    </row>
    <row r="588" spans="2:12" s="340" customFormat="1" ht="13.5" hidden="1" customHeight="1" x14ac:dyDescent="0.2">
      <c r="B588" s="513"/>
      <c r="C588" s="513"/>
      <c r="D588" s="513"/>
      <c r="E588" s="513"/>
      <c r="F588" s="513"/>
      <c r="G588" s="513"/>
      <c r="H588" s="513"/>
      <c r="I588" s="513"/>
      <c r="J588" s="513"/>
      <c r="K588" s="513"/>
      <c r="L588" s="513"/>
    </row>
    <row r="589" spans="2:12" s="340" customFormat="1" ht="13.5" hidden="1" customHeight="1" x14ac:dyDescent="0.2">
      <c r="B589" s="513"/>
      <c r="C589" s="513"/>
      <c r="D589" s="513"/>
      <c r="E589" s="513"/>
      <c r="F589" s="513"/>
      <c r="G589" s="513"/>
      <c r="H589" s="513"/>
      <c r="I589" s="513"/>
      <c r="J589" s="513"/>
      <c r="K589" s="513"/>
      <c r="L589" s="513"/>
    </row>
    <row r="590" spans="2:12" s="340" customFormat="1" ht="13.5" hidden="1" customHeight="1" x14ac:dyDescent="0.2">
      <c r="B590" s="513"/>
      <c r="C590" s="513"/>
      <c r="D590" s="513"/>
      <c r="E590" s="513"/>
      <c r="F590" s="513"/>
      <c r="G590" s="513"/>
      <c r="H590" s="513"/>
      <c r="I590" s="513"/>
      <c r="J590" s="513"/>
      <c r="K590" s="513"/>
      <c r="L590" s="513"/>
    </row>
    <row r="591" spans="2:12" s="340" customFormat="1" ht="13.5" hidden="1" customHeight="1" x14ac:dyDescent="0.2">
      <c r="B591" s="513"/>
      <c r="C591" s="513"/>
      <c r="D591" s="513"/>
      <c r="E591" s="513"/>
      <c r="F591" s="513"/>
      <c r="G591" s="513"/>
      <c r="H591" s="513"/>
      <c r="I591" s="513"/>
      <c r="J591" s="513"/>
      <c r="K591" s="513"/>
      <c r="L591" s="513"/>
    </row>
    <row r="592" spans="2:12" s="340" customFormat="1" ht="13.5" hidden="1" customHeight="1" x14ac:dyDescent="0.2">
      <c r="B592" s="513"/>
      <c r="C592" s="513"/>
      <c r="D592" s="513"/>
      <c r="E592" s="513"/>
      <c r="F592" s="513"/>
      <c r="G592" s="513"/>
      <c r="H592" s="513"/>
      <c r="I592" s="513"/>
      <c r="J592" s="513"/>
      <c r="K592" s="513"/>
      <c r="L592" s="513"/>
    </row>
    <row r="593" spans="2:12" s="340" customFormat="1" ht="13.5" hidden="1" customHeight="1" x14ac:dyDescent="0.2">
      <c r="B593" s="513"/>
      <c r="C593" s="513"/>
      <c r="D593" s="513"/>
      <c r="E593" s="513"/>
      <c r="F593" s="513"/>
      <c r="G593" s="513"/>
      <c r="H593" s="513"/>
      <c r="I593" s="513"/>
      <c r="J593" s="513"/>
      <c r="K593" s="513"/>
      <c r="L593" s="513"/>
    </row>
    <row r="594" spans="2:12" s="340" customFormat="1" ht="13.5" hidden="1" customHeight="1" x14ac:dyDescent="0.2">
      <c r="B594" s="513"/>
      <c r="C594" s="513"/>
      <c r="D594" s="513"/>
      <c r="E594" s="513"/>
      <c r="F594" s="513"/>
      <c r="G594" s="513"/>
      <c r="H594" s="513"/>
      <c r="I594" s="513"/>
      <c r="J594" s="513"/>
      <c r="K594" s="513"/>
      <c r="L594" s="513"/>
    </row>
    <row r="595" spans="2:12" s="340" customFormat="1" ht="13.5" hidden="1" customHeight="1" x14ac:dyDescent="0.2">
      <c r="B595" s="513"/>
      <c r="C595" s="513"/>
      <c r="D595" s="513"/>
      <c r="E595" s="513"/>
      <c r="F595" s="513"/>
      <c r="G595" s="513"/>
      <c r="H595" s="513"/>
      <c r="I595" s="513"/>
      <c r="J595" s="513"/>
      <c r="K595" s="513"/>
      <c r="L595" s="513"/>
    </row>
    <row r="596" spans="2:12" s="340" customFormat="1" ht="13.5" hidden="1" customHeight="1" x14ac:dyDescent="0.2">
      <c r="B596" s="513"/>
      <c r="C596" s="513"/>
      <c r="D596" s="513"/>
      <c r="E596" s="513"/>
      <c r="F596" s="513"/>
      <c r="G596" s="513"/>
      <c r="H596" s="513"/>
      <c r="I596" s="513"/>
      <c r="J596" s="513"/>
      <c r="K596" s="513"/>
      <c r="L596" s="513"/>
    </row>
    <row r="597" spans="2:12" s="340" customFormat="1" ht="13.5" hidden="1" customHeight="1" x14ac:dyDescent="0.2">
      <c r="B597" s="513"/>
      <c r="C597" s="513"/>
      <c r="D597" s="513"/>
      <c r="E597" s="513"/>
      <c r="F597" s="513"/>
      <c r="G597" s="513"/>
      <c r="H597" s="513"/>
      <c r="I597" s="513"/>
      <c r="J597" s="513"/>
      <c r="K597" s="513"/>
      <c r="L597" s="513"/>
    </row>
    <row r="598" spans="2:12" s="340" customFormat="1" ht="13.5" hidden="1" customHeight="1" x14ac:dyDescent="0.2">
      <c r="B598" s="513"/>
      <c r="C598" s="513"/>
      <c r="D598" s="513"/>
      <c r="E598" s="513"/>
      <c r="F598" s="513"/>
      <c r="G598" s="513"/>
      <c r="H598" s="513"/>
      <c r="I598" s="513"/>
      <c r="J598" s="513"/>
      <c r="K598" s="513"/>
      <c r="L598" s="513"/>
    </row>
    <row r="599" spans="2:12" s="340" customFormat="1" ht="13.5" hidden="1" customHeight="1" x14ac:dyDescent="0.2">
      <c r="B599" s="513"/>
      <c r="C599" s="513"/>
      <c r="D599" s="513"/>
      <c r="E599" s="513"/>
      <c r="F599" s="513"/>
      <c r="G599" s="513"/>
      <c r="H599" s="513"/>
      <c r="I599" s="513"/>
      <c r="J599" s="513"/>
      <c r="K599" s="513"/>
      <c r="L599" s="513"/>
    </row>
    <row r="600" spans="2:12" s="340" customFormat="1" ht="13.5" hidden="1" customHeight="1" x14ac:dyDescent="0.2">
      <c r="B600" s="513"/>
      <c r="C600" s="513"/>
      <c r="D600" s="513"/>
      <c r="E600" s="513"/>
      <c r="F600" s="513"/>
      <c r="G600" s="513"/>
      <c r="H600" s="513"/>
      <c r="I600" s="513"/>
      <c r="J600" s="513"/>
      <c r="K600" s="513"/>
      <c r="L600" s="513"/>
    </row>
    <row r="601" spans="2:12" s="340" customFormat="1" ht="13.5" hidden="1" customHeight="1" x14ac:dyDescent="0.2">
      <c r="B601" s="513"/>
      <c r="C601" s="513"/>
      <c r="D601" s="513"/>
      <c r="E601" s="513"/>
      <c r="F601" s="513"/>
      <c r="G601" s="513"/>
      <c r="H601" s="513"/>
      <c r="I601" s="513"/>
      <c r="J601" s="513"/>
      <c r="K601" s="513"/>
      <c r="L601" s="513"/>
    </row>
    <row r="602" spans="2:12" s="340" customFormat="1" ht="13.5" hidden="1" customHeight="1" x14ac:dyDescent="0.2">
      <c r="B602" s="513"/>
      <c r="C602" s="513"/>
      <c r="D602" s="513"/>
      <c r="E602" s="513"/>
      <c r="F602" s="513"/>
      <c r="G602" s="513"/>
      <c r="H602" s="513"/>
      <c r="I602" s="513"/>
      <c r="J602" s="513"/>
      <c r="K602" s="513"/>
      <c r="L602" s="513"/>
    </row>
    <row r="603" spans="2:12" s="340" customFormat="1" ht="13.5" hidden="1" customHeight="1" x14ac:dyDescent="0.2">
      <c r="B603" s="513"/>
      <c r="C603" s="513"/>
      <c r="D603" s="513"/>
      <c r="E603" s="513"/>
      <c r="F603" s="513"/>
      <c r="G603" s="513"/>
      <c r="H603" s="513"/>
      <c r="I603" s="513"/>
      <c r="J603" s="513"/>
      <c r="K603" s="513"/>
      <c r="L603" s="513"/>
    </row>
    <row r="604" spans="2:12" s="340" customFormat="1" ht="13.5" hidden="1" customHeight="1" x14ac:dyDescent="0.2">
      <c r="B604" s="513"/>
      <c r="C604" s="513"/>
      <c r="D604" s="513"/>
      <c r="E604" s="513"/>
      <c r="F604" s="513"/>
      <c r="G604" s="513"/>
      <c r="H604" s="513"/>
      <c r="I604" s="513"/>
      <c r="J604" s="513"/>
      <c r="K604" s="513"/>
      <c r="L604" s="513"/>
    </row>
    <row r="605" spans="2:12" s="340" customFormat="1" ht="13.5" hidden="1" customHeight="1" x14ac:dyDescent="0.2">
      <c r="B605" s="513"/>
      <c r="C605" s="513"/>
      <c r="D605" s="513"/>
      <c r="E605" s="513"/>
      <c r="F605" s="513"/>
      <c r="G605" s="513"/>
      <c r="H605" s="513"/>
      <c r="I605" s="513"/>
      <c r="J605" s="513"/>
      <c r="K605" s="513"/>
      <c r="L605" s="513"/>
    </row>
    <row r="606" spans="2:12" s="340" customFormat="1" ht="13.5" hidden="1" customHeight="1" x14ac:dyDescent="0.2">
      <c r="B606" s="513"/>
      <c r="C606" s="513"/>
      <c r="D606" s="513"/>
      <c r="E606" s="513"/>
      <c r="F606" s="513"/>
      <c r="G606" s="513"/>
      <c r="H606" s="513"/>
      <c r="I606" s="513"/>
      <c r="J606" s="513"/>
      <c r="K606" s="513"/>
      <c r="L606" s="513"/>
    </row>
    <row r="607" spans="2:12" s="340" customFormat="1" ht="13.5" hidden="1" customHeight="1" x14ac:dyDescent="0.2">
      <c r="B607" s="513"/>
      <c r="C607" s="513"/>
      <c r="D607" s="513"/>
      <c r="E607" s="513"/>
      <c r="F607" s="513"/>
      <c r="G607" s="513"/>
      <c r="H607" s="513"/>
      <c r="I607" s="513"/>
      <c r="J607" s="513"/>
      <c r="K607" s="513"/>
      <c r="L607" s="513"/>
    </row>
    <row r="608" spans="2:12" s="340" customFormat="1" ht="13.5" hidden="1" customHeight="1" x14ac:dyDescent="0.2">
      <c r="B608" s="513"/>
      <c r="C608" s="513"/>
      <c r="D608" s="513"/>
      <c r="E608" s="513"/>
      <c r="F608" s="513"/>
      <c r="G608" s="513"/>
      <c r="H608" s="513"/>
      <c r="I608" s="513"/>
      <c r="J608" s="513"/>
      <c r="K608" s="513"/>
      <c r="L608" s="513"/>
    </row>
    <row r="609" spans="2:12" s="340" customFormat="1" ht="13.5" hidden="1" customHeight="1" x14ac:dyDescent="0.2">
      <c r="B609" s="513"/>
      <c r="C609" s="513"/>
      <c r="D609" s="513"/>
      <c r="E609" s="513"/>
      <c r="F609" s="513"/>
      <c r="G609" s="513"/>
      <c r="H609" s="513"/>
      <c r="I609" s="513"/>
      <c r="J609" s="513"/>
      <c r="K609" s="513"/>
      <c r="L609" s="513"/>
    </row>
    <row r="610" spans="2:12" s="340" customFormat="1" ht="13.5" hidden="1" customHeight="1" x14ac:dyDescent="0.2">
      <c r="B610" s="513"/>
      <c r="C610" s="513"/>
      <c r="D610" s="513"/>
      <c r="E610" s="513"/>
      <c r="F610" s="513"/>
      <c r="G610" s="513"/>
      <c r="H610" s="513"/>
      <c r="I610" s="513"/>
      <c r="J610" s="513"/>
      <c r="K610" s="513"/>
      <c r="L610" s="513"/>
    </row>
    <row r="611" spans="2:12" s="340" customFormat="1" ht="13.5" hidden="1" customHeight="1" x14ac:dyDescent="0.2">
      <c r="B611" s="513"/>
      <c r="C611" s="513"/>
      <c r="D611" s="513"/>
      <c r="E611" s="513"/>
      <c r="F611" s="513"/>
      <c r="G611" s="513"/>
      <c r="H611" s="513"/>
      <c r="I611" s="513"/>
      <c r="J611" s="513"/>
      <c r="K611" s="513"/>
      <c r="L611" s="513"/>
    </row>
    <row r="612" spans="2:12" s="340" customFormat="1" ht="13.5" hidden="1" customHeight="1" x14ac:dyDescent="0.2">
      <c r="B612" s="513"/>
      <c r="C612" s="513"/>
      <c r="D612" s="513"/>
      <c r="E612" s="513"/>
      <c r="F612" s="513"/>
      <c r="G612" s="513"/>
      <c r="H612" s="513"/>
      <c r="I612" s="513"/>
      <c r="J612" s="513"/>
      <c r="K612" s="513"/>
      <c r="L612" s="513"/>
    </row>
    <row r="613" spans="2:12" s="340" customFormat="1" ht="13.5" hidden="1" customHeight="1" x14ac:dyDescent="0.2">
      <c r="B613" s="513"/>
      <c r="C613" s="513"/>
      <c r="D613" s="513"/>
      <c r="E613" s="513"/>
      <c r="F613" s="513"/>
      <c r="G613" s="513"/>
      <c r="H613" s="513"/>
      <c r="I613" s="513"/>
      <c r="J613" s="513"/>
      <c r="K613" s="513"/>
      <c r="L613" s="513"/>
    </row>
    <row r="614" spans="2:12" s="340" customFormat="1" ht="13.5" customHeight="1" x14ac:dyDescent="0.2">
      <c r="B614" s="513"/>
      <c r="C614" s="513"/>
      <c r="D614" s="513"/>
      <c r="E614" s="513"/>
      <c r="F614" s="513"/>
      <c r="G614" s="513"/>
      <c r="H614" s="513"/>
      <c r="I614" s="513"/>
      <c r="J614" s="513"/>
      <c r="K614" s="513"/>
      <c r="L614" s="513"/>
    </row>
    <row r="615" spans="2:12" s="340" customFormat="1" ht="13.5" customHeight="1" x14ac:dyDescent="0.2">
      <c r="B615" s="513"/>
      <c r="C615" s="513"/>
      <c r="D615" s="513"/>
      <c r="E615" s="513"/>
      <c r="F615" s="513"/>
      <c r="G615" s="513"/>
      <c r="H615" s="513"/>
      <c r="I615" s="513"/>
      <c r="J615" s="513"/>
      <c r="K615" s="513"/>
      <c r="L615" s="513"/>
    </row>
    <row r="616" spans="2:12" s="340" customFormat="1" ht="13.5" customHeight="1" x14ac:dyDescent="0.2">
      <c r="B616" s="513"/>
      <c r="C616" s="513"/>
      <c r="D616" s="513"/>
      <c r="E616" s="513"/>
      <c r="F616" s="513"/>
      <c r="G616" s="513"/>
      <c r="H616" s="513"/>
      <c r="I616" s="513"/>
      <c r="J616" s="513"/>
      <c r="K616" s="513"/>
      <c r="L616" s="513"/>
    </row>
    <row r="617" spans="2:12" s="340" customFormat="1" ht="13.5" customHeight="1" x14ac:dyDescent="0.2">
      <c r="B617" s="513"/>
      <c r="C617" s="513"/>
      <c r="D617" s="513"/>
      <c r="E617" s="513"/>
      <c r="F617" s="513"/>
      <c r="G617" s="513"/>
      <c r="H617" s="513"/>
      <c r="I617" s="513"/>
      <c r="J617" s="513"/>
      <c r="K617" s="513"/>
      <c r="L617" s="513"/>
    </row>
    <row r="618" spans="2:12" s="340" customFormat="1" ht="13.5" customHeight="1" x14ac:dyDescent="0.2">
      <c r="B618" s="513"/>
      <c r="C618" s="513"/>
      <c r="D618" s="513"/>
      <c r="E618" s="513"/>
      <c r="F618" s="513"/>
      <c r="G618" s="513"/>
      <c r="H618" s="513"/>
      <c r="I618" s="513"/>
      <c r="J618" s="513"/>
      <c r="K618" s="513"/>
      <c r="L618" s="513"/>
    </row>
    <row r="619" spans="2:12" s="340" customFormat="1" ht="13.5" customHeight="1" x14ac:dyDescent="0.2">
      <c r="B619" s="513"/>
      <c r="C619" s="513"/>
      <c r="D619" s="513"/>
      <c r="E619" s="513"/>
      <c r="F619" s="513"/>
      <c r="G619" s="513"/>
      <c r="H619" s="513"/>
      <c r="I619" s="513"/>
      <c r="J619" s="513"/>
      <c r="K619" s="513"/>
      <c r="L619" s="513"/>
    </row>
    <row r="620" spans="2:12" s="340" customFormat="1" ht="13.5" customHeight="1" x14ac:dyDescent="0.2">
      <c r="B620" s="513"/>
      <c r="C620" s="513"/>
      <c r="D620" s="513"/>
      <c r="E620" s="513"/>
      <c r="F620" s="513"/>
      <c r="G620" s="513"/>
      <c r="H620" s="513"/>
      <c r="I620" s="513"/>
      <c r="J620" s="513"/>
      <c r="K620" s="513"/>
      <c r="L620" s="513"/>
    </row>
    <row r="621" spans="2:12" s="340" customFormat="1" ht="13.5" customHeight="1" x14ac:dyDescent="0.2">
      <c r="B621" s="513"/>
      <c r="C621" s="513"/>
      <c r="D621" s="513"/>
      <c r="E621" s="513"/>
      <c r="F621" s="513"/>
      <c r="G621" s="513"/>
      <c r="H621" s="513"/>
      <c r="I621" s="513"/>
      <c r="J621" s="513"/>
      <c r="K621" s="513"/>
      <c r="L621" s="513"/>
    </row>
    <row r="622" spans="2:12" s="340" customFormat="1" ht="13.5" customHeight="1" x14ac:dyDescent="0.2">
      <c r="B622" s="513"/>
      <c r="C622" s="513"/>
      <c r="D622" s="513"/>
      <c r="E622" s="513"/>
      <c r="F622" s="513"/>
      <c r="G622" s="513"/>
      <c r="H622" s="513"/>
      <c r="I622" s="513"/>
      <c r="J622" s="513"/>
      <c r="K622" s="513"/>
      <c r="L622" s="513"/>
    </row>
    <row r="623" spans="2:12" s="340" customFormat="1" ht="13.5" customHeight="1" x14ac:dyDescent="0.2">
      <c r="B623" s="513"/>
      <c r="C623" s="513"/>
      <c r="D623" s="513"/>
      <c r="E623" s="513"/>
      <c r="F623" s="513"/>
      <c r="G623" s="513"/>
      <c r="H623" s="513"/>
      <c r="I623" s="513"/>
      <c r="J623" s="513"/>
      <c r="K623" s="513"/>
      <c r="L623" s="513"/>
    </row>
    <row r="624" spans="2:12" s="340" customFormat="1" ht="13.5" customHeight="1" x14ac:dyDescent="0.2">
      <c r="B624" s="513"/>
      <c r="C624" s="513"/>
      <c r="D624" s="513"/>
      <c r="E624" s="513"/>
      <c r="F624" s="513"/>
      <c r="G624" s="513"/>
      <c r="H624" s="513"/>
      <c r="I624" s="513"/>
      <c r="J624" s="513"/>
      <c r="K624" s="513"/>
      <c r="L624" s="513"/>
    </row>
    <row r="625" spans="2:12" s="340" customFormat="1" ht="13.5" customHeight="1" x14ac:dyDescent="0.2">
      <c r="B625" s="513"/>
      <c r="C625" s="513"/>
      <c r="D625" s="513"/>
      <c r="E625" s="513"/>
      <c r="F625" s="513"/>
      <c r="G625" s="513"/>
      <c r="H625" s="513"/>
      <c r="I625" s="513"/>
      <c r="J625" s="513"/>
      <c r="K625" s="513"/>
      <c r="L625" s="513"/>
    </row>
    <row r="626" spans="2:12" s="340" customFormat="1" ht="13.5" customHeight="1" x14ac:dyDescent="0.2">
      <c r="B626" s="513"/>
      <c r="C626" s="513"/>
      <c r="D626" s="513"/>
      <c r="E626" s="513"/>
      <c r="F626" s="513"/>
      <c r="G626" s="513"/>
      <c r="H626" s="513"/>
      <c r="I626" s="513"/>
      <c r="J626" s="513"/>
      <c r="K626" s="513"/>
      <c r="L626" s="513"/>
    </row>
    <row r="627" spans="2:12" s="340" customFormat="1" ht="13.5" customHeight="1" x14ac:dyDescent="0.2">
      <c r="B627" s="513"/>
      <c r="C627" s="513"/>
      <c r="D627" s="513"/>
      <c r="E627" s="513"/>
      <c r="F627" s="513"/>
      <c r="G627" s="513"/>
      <c r="H627" s="513"/>
      <c r="I627" s="513"/>
      <c r="J627" s="513"/>
      <c r="K627" s="513"/>
      <c r="L627" s="513"/>
    </row>
    <row r="628" spans="2:12" s="340" customFormat="1" ht="13.5" customHeight="1" x14ac:dyDescent="0.2">
      <c r="B628" s="513"/>
      <c r="C628" s="513"/>
      <c r="D628" s="513"/>
      <c r="E628" s="513"/>
      <c r="F628" s="513"/>
      <c r="G628" s="513"/>
      <c r="H628" s="513"/>
      <c r="I628" s="513"/>
      <c r="J628" s="513"/>
      <c r="K628" s="513"/>
      <c r="L628" s="513"/>
    </row>
    <row r="629" spans="2:12" s="340" customFormat="1" ht="13.5" customHeight="1" x14ac:dyDescent="0.2">
      <c r="B629" s="513"/>
      <c r="C629" s="513"/>
      <c r="D629" s="513"/>
      <c r="E629" s="513"/>
      <c r="F629" s="513"/>
      <c r="G629" s="513"/>
      <c r="H629" s="513"/>
      <c r="I629" s="513"/>
      <c r="J629" s="513"/>
      <c r="K629" s="513"/>
      <c r="L629" s="513"/>
    </row>
    <row r="630" spans="2:12" s="340" customFormat="1" ht="13.5" customHeight="1" x14ac:dyDescent="0.2">
      <c r="B630" s="513"/>
      <c r="C630" s="513"/>
      <c r="D630" s="513"/>
      <c r="E630" s="513"/>
      <c r="F630" s="513"/>
      <c r="G630" s="513"/>
      <c r="H630" s="513"/>
      <c r="I630" s="513"/>
      <c r="J630" s="513"/>
      <c r="K630" s="513"/>
      <c r="L630" s="513"/>
    </row>
    <row r="631" spans="2:12" s="340" customFormat="1" ht="13.5" customHeight="1" x14ac:dyDescent="0.2">
      <c r="B631" s="513"/>
      <c r="C631" s="513"/>
      <c r="D631" s="513"/>
      <c r="E631" s="513"/>
      <c r="F631" s="513"/>
      <c r="G631" s="513"/>
      <c r="H631" s="513"/>
      <c r="I631" s="513"/>
      <c r="J631" s="513"/>
      <c r="K631" s="513"/>
      <c r="L631" s="513"/>
    </row>
    <row r="632" spans="2:12" ht="13.5" customHeight="1" x14ac:dyDescent="0.2">
      <c r="B632" s="513"/>
      <c r="C632" s="513"/>
      <c r="D632" s="513"/>
      <c r="E632" s="513"/>
      <c r="F632" s="513"/>
      <c r="G632" s="513"/>
      <c r="H632" s="513"/>
      <c r="I632" s="513"/>
      <c r="J632" s="513"/>
      <c r="K632" s="513"/>
      <c r="L632" s="513"/>
    </row>
    <row r="633" spans="2:12" ht="13.5" customHeight="1" x14ac:dyDescent="0.2">
      <c r="B633" s="513"/>
      <c r="C633" s="513"/>
      <c r="D633" s="513"/>
      <c r="E633" s="513"/>
      <c r="F633" s="513"/>
      <c r="G633" s="513"/>
      <c r="H633" s="513"/>
      <c r="I633" s="513"/>
      <c r="J633" s="513"/>
      <c r="K633" s="513"/>
      <c r="L633" s="513"/>
    </row>
    <row r="634" spans="2:12" ht="13.5" customHeight="1" x14ac:dyDescent="0.2">
      <c r="B634" s="513"/>
      <c r="C634" s="513"/>
      <c r="D634" s="513"/>
      <c r="E634" s="513"/>
      <c r="F634" s="513"/>
      <c r="G634" s="513"/>
      <c r="H634" s="513"/>
      <c r="I634" s="513"/>
      <c r="J634" s="513"/>
      <c r="K634" s="513"/>
      <c r="L634" s="513"/>
    </row>
    <row r="635" spans="2:12" ht="13.5" customHeight="1" x14ac:dyDescent="0.2">
      <c r="B635" s="513"/>
      <c r="C635" s="513"/>
      <c r="D635" s="513"/>
      <c r="E635" s="513"/>
      <c r="F635" s="513"/>
      <c r="G635" s="513"/>
      <c r="H635" s="513"/>
      <c r="I635" s="513"/>
      <c r="J635" s="513"/>
      <c r="K635" s="513"/>
      <c r="L635" s="513"/>
    </row>
    <row r="636" spans="2:12" ht="13.5" customHeight="1" x14ac:dyDescent="0.2">
      <c r="B636" s="513"/>
      <c r="C636" s="513"/>
      <c r="D636" s="513"/>
      <c r="E636" s="513"/>
      <c r="F636" s="513"/>
      <c r="G636" s="513"/>
      <c r="H636" s="513"/>
      <c r="I636" s="513"/>
      <c r="J636" s="513"/>
      <c r="K636" s="513"/>
      <c r="L636" s="513"/>
    </row>
    <row r="637" spans="2:12" ht="13.5" customHeight="1" x14ac:dyDescent="0.2">
      <c r="B637" s="513"/>
      <c r="C637" s="513"/>
      <c r="D637" s="513"/>
      <c r="E637" s="513"/>
      <c r="F637" s="513"/>
      <c r="G637" s="513"/>
      <c r="H637" s="513"/>
      <c r="I637" s="513"/>
      <c r="J637" s="513"/>
      <c r="K637" s="513"/>
      <c r="L637" s="513"/>
    </row>
    <row r="638" spans="2:12" ht="13.5" customHeight="1" x14ac:dyDescent="0.2">
      <c r="B638" s="513"/>
      <c r="C638" s="513"/>
      <c r="D638" s="513"/>
      <c r="E638" s="513"/>
      <c r="F638" s="513"/>
      <c r="G638" s="513"/>
      <c r="H638" s="513"/>
      <c r="I638" s="513"/>
      <c r="J638" s="513"/>
      <c r="K638" s="513"/>
      <c r="L638" s="513"/>
    </row>
    <row r="639" spans="2:12" ht="13.5" customHeight="1" x14ac:dyDescent="0.2">
      <c r="B639" s="513"/>
      <c r="C639" s="513"/>
      <c r="D639" s="513"/>
      <c r="E639" s="513"/>
      <c r="F639" s="513"/>
      <c r="G639" s="513"/>
      <c r="H639" s="513"/>
      <c r="I639" s="513"/>
      <c r="J639" s="513"/>
      <c r="K639" s="513"/>
      <c r="L639" s="513"/>
    </row>
    <row r="640" spans="2:12" ht="13.5" customHeight="1" x14ac:dyDescent="0.2">
      <c r="B640" s="513"/>
      <c r="C640" s="513"/>
      <c r="D640" s="513"/>
      <c r="E640" s="513"/>
      <c r="F640" s="513"/>
      <c r="G640" s="513"/>
      <c r="H640" s="513"/>
      <c r="I640" s="513"/>
      <c r="J640" s="513"/>
      <c r="K640" s="513"/>
      <c r="L640" s="513"/>
    </row>
    <row r="641" spans="2:14" ht="13.5" customHeight="1" x14ac:dyDescent="0.2">
      <c r="B641" s="513"/>
      <c r="C641" s="513"/>
      <c r="D641" s="513"/>
      <c r="E641" s="513"/>
      <c r="F641" s="513"/>
      <c r="G641" s="513"/>
      <c r="H641" s="513"/>
      <c r="I641" s="513"/>
      <c r="J641" s="513"/>
      <c r="K641" s="513"/>
      <c r="L641" s="513"/>
      <c r="N641" s="551" t="e">
        <f>#REF!</f>
        <v>#REF!</v>
      </c>
    </row>
    <row r="642" spans="2:14" ht="13.5" customHeight="1" x14ac:dyDescent="0.2">
      <c r="B642" s="513"/>
      <c r="C642" s="513"/>
      <c r="D642" s="513"/>
      <c r="E642" s="513"/>
      <c r="F642" s="513"/>
      <c r="G642" s="513"/>
      <c r="H642" s="513"/>
      <c r="I642" s="513"/>
      <c r="J642" s="513"/>
      <c r="K642" s="513"/>
      <c r="L642" s="513"/>
    </row>
    <row r="643" spans="2:14" ht="13.5" customHeight="1" x14ac:dyDescent="0.2">
      <c r="B643" s="513"/>
      <c r="C643" s="513"/>
      <c r="D643" s="513"/>
      <c r="E643" s="513"/>
      <c r="F643" s="513"/>
      <c r="G643" s="513"/>
      <c r="H643" s="513"/>
      <c r="I643" s="513"/>
      <c r="J643" s="513"/>
      <c r="K643" s="513"/>
      <c r="L643" s="513"/>
    </row>
    <row r="644" spans="2:14" ht="13.5" customHeight="1" x14ac:dyDescent="0.2">
      <c r="B644" s="513"/>
      <c r="C644" s="513"/>
      <c r="D644" s="513"/>
      <c r="E644" s="513"/>
      <c r="F644" s="513"/>
      <c r="G644" s="513"/>
      <c r="H644" s="513"/>
      <c r="I644" s="513"/>
      <c r="J644" s="513"/>
      <c r="K644" s="513"/>
      <c r="L644" s="513"/>
    </row>
    <row r="645" spans="2:14" ht="13.5" customHeight="1" x14ac:dyDescent="0.2">
      <c r="B645" s="513"/>
      <c r="C645" s="513"/>
      <c r="D645" s="513"/>
      <c r="E645" s="513"/>
      <c r="F645" s="513"/>
      <c r="G645" s="513"/>
      <c r="H645" s="513"/>
      <c r="I645" s="513"/>
      <c r="J645" s="513"/>
      <c r="K645" s="513"/>
      <c r="L645" s="513"/>
    </row>
    <row r="646" spans="2:14" ht="13.5" customHeight="1" x14ac:dyDescent="0.2">
      <c r="B646" s="513"/>
      <c r="C646" s="513"/>
      <c r="D646" s="513"/>
      <c r="E646" s="513"/>
      <c r="F646" s="513"/>
      <c r="G646" s="513"/>
      <c r="H646" s="513"/>
      <c r="I646" s="513"/>
      <c r="J646" s="513"/>
      <c r="K646" s="513"/>
      <c r="L646" s="513"/>
    </row>
    <row r="647" spans="2:14" ht="13.5" customHeight="1" x14ac:dyDescent="0.2">
      <c r="B647" s="513"/>
      <c r="C647" s="513"/>
      <c r="D647" s="513"/>
      <c r="E647" s="513"/>
      <c r="F647" s="513"/>
      <c r="G647" s="513"/>
      <c r="H647" s="513"/>
      <c r="I647" s="513"/>
      <c r="J647" s="513"/>
      <c r="K647" s="513"/>
      <c r="L647" s="513"/>
    </row>
    <row r="648" spans="2:14" ht="13.5" customHeight="1" x14ac:dyDescent="0.2">
      <c r="B648" s="513"/>
      <c r="C648" s="513"/>
      <c r="D648" s="513"/>
      <c r="E648" s="513"/>
      <c r="F648" s="513"/>
      <c r="G648" s="513"/>
      <c r="H648" s="513"/>
      <c r="I648" s="513"/>
      <c r="J648" s="513"/>
      <c r="K648" s="513"/>
      <c r="L648" s="513"/>
    </row>
    <row r="649" spans="2:14" ht="13.5" customHeight="1" x14ac:dyDescent="0.2">
      <c r="B649" s="513"/>
      <c r="C649" s="513"/>
      <c r="D649" s="513"/>
      <c r="E649" s="513"/>
      <c r="F649" s="513"/>
      <c r="G649" s="513"/>
      <c r="H649" s="513"/>
      <c r="I649" s="513"/>
      <c r="J649" s="513"/>
      <c r="K649" s="513"/>
      <c r="L649" s="513"/>
    </row>
    <row r="650" spans="2:14" ht="13.5" customHeight="1" x14ac:dyDescent="0.2">
      <c r="B650" s="513"/>
      <c r="C650" s="513"/>
      <c r="D650" s="513"/>
      <c r="E650" s="513"/>
      <c r="F650" s="513"/>
      <c r="G650" s="513"/>
      <c r="H650" s="513"/>
      <c r="I650" s="513"/>
      <c r="J650" s="513"/>
      <c r="K650" s="513"/>
      <c r="L650" s="513"/>
    </row>
    <row r="651" spans="2:14" ht="13.5" customHeight="1" x14ac:dyDescent="0.2">
      <c r="B651" s="513"/>
      <c r="C651" s="513"/>
      <c r="D651" s="513"/>
      <c r="E651" s="513"/>
      <c r="F651" s="513"/>
      <c r="G651" s="513"/>
      <c r="H651" s="513"/>
      <c r="I651" s="513"/>
      <c r="J651" s="513"/>
      <c r="K651" s="513"/>
      <c r="L651" s="513"/>
    </row>
    <row r="652" spans="2:14" ht="13.5" customHeight="1" x14ac:dyDescent="0.2">
      <c r="J652" s="513"/>
      <c r="K652" s="513"/>
      <c r="L652" s="513"/>
    </row>
    <row r="653" spans="2:14" ht="13.5" customHeight="1" x14ac:dyDescent="0.2"/>
    <row r="654" spans="2:14" ht="13.5" customHeight="1" x14ac:dyDescent="0.2"/>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0" hidden="1" customHeight="1" x14ac:dyDescent="0.2"/>
  </sheetData>
  <mergeCells count="26">
    <mergeCell ref="B96:C96"/>
    <mergeCell ref="B29:J29"/>
    <mergeCell ref="K88:K89"/>
    <mergeCell ref="K72:K73"/>
    <mergeCell ref="K59:K61"/>
    <mergeCell ref="K63:K64"/>
    <mergeCell ref="B72:C72"/>
    <mergeCell ref="B67:C67"/>
    <mergeCell ref="B68:C68"/>
    <mergeCell ref="K69:K70"/>
    <mergeCell ref="K84:K86"/>
    <mergeCell ref="B71:C71"/>
    <mergeCell ref="B65:C65"/>
    <mergeCell ref="B64:C64"/>
    <mergeCell ref="B63:C63"/>
    <mergeCell ref="B62:C62"/>
    <mergeCell ref="B88:C88"/>
    <mergeCell ref="B87:C87"/>
    <mergeCell ref="B83:C83"/>
    <mergeCell ref="B74:C74"/>
    <mergeCell ref="B73:C73"/>
    <mergeCell ref="B95:C95"/>
    <mergeCell ref="B93:C93"/>
    <mergeCell ref="B92:C92"/>
    <mergeCell ref="B90:C90"/>
    <mergeCell ref="B89:C89"/>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disablePrompts="1" count="1">
    <dataValidation type="list" allowBlank="1" showInputMessage="1" showErrorMessage="1" sqref="C11">
      <formula1>$G$105:$G$108</formula1>
    </dataValidation>
  </dataValidations>
  <pageMargins left="0.7" right="0.7" top="0.75" bottom="0.75" header="0.3" footer="0.3"/>
  <pageSetup orientation="portrait" r:id="rId1"/>
  <ignoredErrors>
    <ignoredError sqref="G89:I8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view="pageLayout" zoomScale="115" zoomScalePageLayoutView="115" workbookViewId="0">
      <selection activeCell="A11" sqref="A11:J13"/>
    </sheetView>
  </sheetViews>
  <sheetFormatPr defaultColWidth="0" defaultRowHeight="11.25" zeroHeight="1" x14ac:dyDescent="0.2"/>
  <cols>
    <col min="1" max="11" width="9.33203125" style="331" customWidth="1"/>
    <col min="12" max="16384" width="9.33203125" style="331" hidden="1"/>
  </cols>
  <sheetData>
    <row r="1" spans="1:10" x14ac:dyDescent="0.2"/>
    <row r="2" spans="1:10" ht="31.5" x14ac:dyDescent="0.5">
      <c r="A2" s="332" t="s">
        <v>219</v>
      </c>
    </row>
    <row r="3" spans="1:10" x14ac:dyDescent="0.2"/>
    <row r="4" spans="1:10" ht="15" x14ac:dyDescent="0.25">
      <c r="A4" s="333" t="s">
        <v>474</v>
      </c>
      <c r="B4" s="333"/>
      <c r="C4" s="333"/>
      <c r="D4" s="333"/>
      <c r="E4" s="333"/>
      <c r="F4" s="333"/>
      <c r="G4" s="333"/>
      <c r="H4" s="333"/>
      <c r="I4" s="333"/>
      <c r="J4" s="334"/>
    </row>
    <row r="5" spans="1:10" ht="15" x14ac:dyDescent="0.25">
      <c r="A5" s="334"/>
      <c r="B5" s="334"/>
      <c r="C5" s="334"/>
      <c r="D5" s="334"/>
      <c r="E5" s="334"/>
      <c r="F5" s="334"/>
      <c r="G5" s="334"/>
      <c r="H5" s="334"/>
      <c r="I5" s="334"/>
      <c r="J5" s="334"/>
    </row>
    <row r="6" spans="1:10" ht="15" x14ac:dyDescent="0.25">
      <c r="A6" s="334"/>
      <c r="B6" s="334"/>
      <c r="C6" s="334"/>
      <c r="D6" s="334"/>
      <c r="E6" s="334"/>
      <c r="F6" s="334"/>
      <c r="G6" s="334"/>
      <c r="H6" s="334"/>
      <c r="I6" s="334"/>
      <c r="J6" s="334"/>
    </row>
    <row r="7" spans="1:10" ht="15" customHeight="1" x14ac:dyDescent="0.2">
      <c r="A7" s="870" t="s">
        <v>232</v>
      </c>
      <c r="B7" s="870"/>
      <c r="C7" s="870"/>
      <c r="D7" s="870"/>
      <c r="E7" s="870"/>
      <c r="F7" s="870"/>
      <c r="G7" s="870"/>
      <c r="H7" s="870"/>
      <c r="I7" s="870"/>
      <c r="J7" s="870"/>
    </row>
    <row r="8" spans="1:10" ht="15" customHeight="1" x14ac:dyDescent="0.2">
      <c r="A8" s="870"/>
      <c r="B8" s="870"/>
      <c r="C8" s="870"/>
      <c r="D8" s="870"/>
      <c r="E8" s="870"/>
      <c r="F8" s="870"/>
      <c r="G8" s="870"/>
      <c r="H8" s="870"/>
      <c r="I8" s="870"/>
      <c r="J8" s="870"/>
    </row>
    <row r="9" spans="1:10" ht="15" customHeight="1" x14ac:dyDescent="0.2">
      <c r="A9" s="870"/>
      <c r="B9" s="870"/>
      <c r="C9" s="870"/>
      <c r="D9" s="870"/>
      <c r="E9" s="870"/>
      <c r="F9" s="870"/>
      <c r="G9" s="870"/>
      <c r="H9" s="870"/>
      <c r="I9" s="870"/>
      <c r="J9" s="870"/>
    </row>
    <row r="10" spans="1:10" ht="15" x14ac:dyDescent="0.25">
      <c r="A10" s="334"/>
      <c r="B10" s="334"/>
      <c r="C10" s="334"/>
      <c r="D10" s="334"/>
      <c r="E10" s="334"/>
      <c r="F10" s="334"/>
      <c r="G10" s="334"/>
      <c r="H10" s="334"/>
      <c r="I10" s="334"/>
      <c r="J10" s="334"/>
    </row>
    <row r="11" spans="1:10" ht="15" customHeight="1" x14ac:dyDescent="0.2">
      <c r="A11" s="871" t="s">
        <v>233</v>
      </c>
      <c r="B11" s="871"/>
      <c r="C11" s="871"/>
      <c r="D11" s="871"/>
      <c r="E11" s="871"/>
      <c r="F11" s="871"/>
      <c r="G11" s="871"/>
      <c r="H11" s="871"/>
      <c r="I11" s="871"/>
      <c r="J11" s="871"/>
    </row>
    <row r="12" spans="1:10" ht="15" customHeight="1" x14ac:dyDescent="0.2">
      <c r="A12" s="871"/>
      <c r="B12" s="871"/>
      <c r="C12" s="871"/>
      <c r="D12" s="871"/>
      <c r="E12" s="871"/>
      <c r="F12" s="871"/>
      <c r="G12" s="871"/>
      <c r="H12" s="871"/>
      <c r="I12" s="871"/>
      <c r="J12" s="871"/>
    </row>
    <row r="13" spans="1:10" ht="15" customHeight="1" x14ac:dyDescent="0.2">
      <c r="A13" s="871"/>
      <c r="B13" s="871"/>
      <c r="C13" s="871"/>
      <c r="D13" s="871"/>
      <c r="E13" s="871"/>
      <c r="F13" s="871"/>
      <c r="G13" s="871"/>
      <c r="H13" s="871"/>
      <c r="I13" s="871"/>
      <c r="J13" s="871"/>
    </row>
    <row r="14" spans="1:10" ht="15" x14ac:dyDescent="0.25">
      <c r="A14" s="334"/>
      <c r="B14" s="334"/>
      <c r="C14" s="334"/>
      <c r="D14" s="334"/>
      <c r="E14" s="334"/>
      <c r="F14" s="334"/>
      <c r="G14" s="334"/>
      <c r="H14" s="334"/>
      <c r="I14" s="334"/>
      <c r="J14" s="334"/>
    </row>
    <row r="15" spans="1:10" ht="15" customHeight="1" x14ac:dyDescent="0.2">
      <c r="A15" s="872" t="s">
        <v>227</v>
      </c>
      <c r="B15" s="872"/>
      <c r="C15" s="872"/>
      <c r="D15" s="872"/>
      <c r="E15" s="872"/>
      <c r="F15" s="872"/>
      <c r="G15" s="872"/>
      <c r="H15" s="872"/>
      <c r="I15" s="872"/>
      <c r="J15" s="872"/>
    </row>
    <row r="16" spans="1:10" ht="15" customHeight="1" x14ac:dyDescent="0.2">
      <c r="A16" s="872"/>
      <c r="B16" s="872"/>
      <c r="C16" s="872"/>
      <c r="D16" s="872"/>
      <c r="E16" s="872"/>
      <c r="F16" s="872"/>
      <c r="G16" s="872"/>
      <c r="H16" s="872"/>
      <c r="I16" s="872"/>
      <c r="J16" s="872"/>
    </row>
    <row r="17" spans="1:10" ht="15" customHeight="1" x14ac:dyDescent="0.2">
      <c r="A17" s="872"/>
      <c r="B17" s="872"/>
      <c r="C17" s="872"/>
      <c r="D17" s="872"/>
      <c r="E17" s="872"/>
      <c r="F17" s="872"/>
      <c r="G17" s="872"/>
      <c r="H17" s="872"/>
      <c r="I17" s="872"/>
      <c r="J17" s="872"/>
    </row>
    <row r="18" spans="1:10" ht="15" customHeight="1" x14ac:dyDescent="0.2">
      <c r="A18" s="872"/>
      <c r="B18" s="872"/>
      <c r="C18" s="872"/>
      <c r="D18" s="872"/>
      <c r="E18" s="872"/>
      <c r="F18" s="872"/>
      <c r="G18" s="872"/>
      <c r="H18" s="872"/>
      <c r="I18" s="872"/>
      <c r="J18" s="872"/>
    </row>
    <row r="19" spans="1:10" ht="15" x14ac:dyDescent="0.25">
      <c r="A19" s="334"/>
      <c r="B19" s="334"/>
      <c r="C19" s="334"/>
      <c r="D19" s="334"/>
      <c r="E19" s="334"/>
      <c r="F19" s="334"/>
      <c r="G19" s="334"/>
      <c r="H19" s="334"/>
      <c r="I19" s="334"/>
      <c r="J19" s="334"/>
    </row>
    <row r="20" spans="1:10" ht="15" x14ac:dyDescent="0.25">
      <c r="B20" s="334"/>
      <c r="C20" s="334"/>
      <c r="D20" s="334"/>
      <c r="E20" s="334"/>
      <c r="F20" s="334"/>
      <c r="G20" s="334"/>
      <c r="H20" s="334"/>
      <c r="I20" s="334"/>
      <c r="J20" s="334"/>
    </row>
    <row r="21" spans="1:10" ht="15" x14ac:dyDescent="0.25">
      <c r="A21" s="334"/>
      <c r="B21" s="334"/>
      <c r="C21" s="334"/>
      <c r="D21" s="334"/>
      <c r="E21" s="334"/>
      <c r="F21" s="334"/>
      <c r="G21" s="334"/>
      <c r="H21" s="334"/>
      <c r="I21" s="334"/>
      <c r="J21" s="334"/>
    </row>
    <row r="22" spans="1:10" ht="15" x14ac:dyDescent="0.25">
      <c r="J22" s="334"/>
    </row>
    <row r="23" spans="1:10" ht="15" x14ac:dyDescent="0.25">
      <c r="A23" s="334" t="s">
        <v>220</v>
      </c>
      <c r="J23" s="334"/>
    </row>
    <row r="24" spans="1:10" ht="15" x14ac:dyDescent="0.25">
      <c r="J24" s="334"/>
    </row>
    <row r="25" spans="1:10" ht="15" x14ac:dyDescent="0.25">
      <c r="A25" s="334"/>
      <c r="B25" s="334"/>
      <c r="C25" s="334"/>
      <c r="D25" s="334"/>
      <c r="E25" s="334"/>
      <c r="F25" s="334"/>
      <c r="G25" s="334"/>
      <c r="H25" s="334"/>
      <c r="I25" s="334"/>
      <c r="J25" s="334"/>
    </row>
    <row r="26" spans="1:10" ht="15" x14ac:dyDescent="0.25">
      <c r="A26" s="334"/>
      <c r="B26" s="334"/>
      <c r="C26" s="334"/>
      <c r="D26" s="334"/>
      <c r="E26" s="334"/>
      <c r="F26" s="334"/>
      <c r="G26" s="334"/>
      <c r="H26" s="334"/>
      <c r="I26" s="334"/>
      <c r="J26" s="334"/>
    </row>
    <row r="27" spans="1:10" ht="15" x14ac:dyDescent="0.25">
      <c r="A27" s="334"/>
      <c r="B27" s="334"/>
      <c r="C27" s="334"/>
      <c r="D27" s="334"/>
      <c r="E27" s="334"/>
      <c r="F27" s="334"/>
      <c r="G27" s="334"/>
      <c r="H27" s="334"/>
      <c r="I27" s="334"/>
      <c r="J27" s="334"/>
    </row>
    <row r="28" spans="1:10" ht="15" x14ac:dyDescent="0.25">
      <c r="A28" s="334"/>
      <c r="B28" s="334"/>
      <c r="C28" s="334"/>
      <c r="D28" s="334"/>
      <c r="E28" s="334"/>
      <c r="F28" s="334"/>
      <c r="G28" s="334"/>
      <c r="H28" s="334"/>
      <c r="I28" s="334"/>
      <c r="J28" s="334"/>
    </row>
    <row r="29" spans="1:10" ht="15" x14ac:dyDescent="0.25">
      <c r="A29" s="333"/>
      <c r="B29" s="333"/>
      <c r="C29" s="333"/>
      <c r="D29" s="333"/>
      <c r="E29" s="333"/>
      <c r="F29" s="334"/>
      <c r="G29" s="333"/>
      <c r="H29" s="333"/>
      <c r="I29" s="333"/>
      <c r="J29" s="334"/>
    </row>
    <row r="30" spans="1:10" ht="15" x14ac:dyDescent="0.25">
      <c r="A30" s="334"/>
      <c r="B30" s="334"/>
      <c r="C30" s="334"/>
      <c r="D30" s="334"/>
      <c r="E30" s="334"/>
      <c r="F30" s="334"/>
      <c r="G30" s="334"/>
      <c r="H30" s="334"/>
      <c r="I30" s="334"/>
      <c r="J30" s="334"/>
    </row>
    <row r="31" spans="1:10" ht="15" x14ac:dyDescent="0.25">
      <c r="A31" s="334" t="s">
        <v>221</v>
      </c>
      <c r="B31" s="334"/>
      <c r="C31" s="334"/>
      <c r="D31" s="334"/>
      <c r="E31" s="334"/>
      <c r="F31" s="334"/>
      <c r="G31" s="334" t="s">
        <v>222</v>
      </c>
      <c r="H31" s="334"/>
      <c r="I31" s="334"/>
      <c r="J31" s="335"/>
    </row>
    <row r="32" spans="1:10" ht="12" x14ac:dyDescent="0.2">
      <c r="A32" s="335"/>
      <c r="B32" s="335"/>
      <c r="C32" s="335"/>
      <c r="D32" s="335"/>
      <c r="E32" s="335"/>
      <c r="F32" s="335"/>
      <c r="G32" s="335"/>
      <c r="H32" s="335"/>
      <c r="I32" s="335"/>
      <c r="J32" s="335"/>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9" activePane="bottomLeft" state="frozen"/>
      <selection activeCell="C9" sqref="C9:F9"/>
      <selection pane="bottomLeft" activeCell="A9" sqref="A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9" customWidth="1"/>
    <col min="6" max="6" width="23.33203125" style="52" customWidth="1"/>
    <col min="7" max="7" width="64.5" style="88" customWidth="1"/>
    <col min="8" max="8" width="24.1640625" style="88"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455</v>
      </c>
      <c r="G2" s="14"/>
      <c r="H2" s="6"/>
    </row>
    <row r="3" spans="1:15" ht="16.350000000000001" customHeight="1" x14ac:dyDescent="0.2">
      <c r="B3" s="43" t="str">
        <f>'Revenue - Base year'!B3</f>
        <v>Queenscliffe (B)</v>
      </c>
    </row>
    <row r="4" spans="1:15" ht="13.5" thickBot="1" x14ac:dyDescent="0.25">
      <c r="B4" s="764"/>
      <c r="C4" s="764"/>
      <c r="D4" s="764"/>
      <c r="E4" s="764"/>
    </row>
    <row r="5" spans="1:15" ht="8.25" customHeight="1" x14ac:dyDescent="0.2">
      <c r="C5" s="322"/>
      <c r="D5" s="323"/>
      <c r="E5" s="324"/>
      <c r="F5" s="325"/>
      <c r="G5" s="326"/>
      <c r="H5" s="326"/>
      <c r="I5" s="327"/>
    </row>
    <row r="6" spans="1:15" ht="6.75" customHeight="1" x14ac:dyDescent="0.2">
      <c r="C6" s="13"/>
      <c r="D6" s="14"/>
      <c r="E6" s="81"/>
      <c r="F6" s="54"/>
      <c r="G6" s="149"/>
      <c r="H6" s="149"/>
      <c r="I6" s="31"/>
    </row>
    <row r="7" spans="1:15" ht="44.25" customHeight="1" x14ac:dyDescent="0.2">
      <c r="C7" s="13"/>
      <c r="D7" s="14"/>
      <c r="E7" s="328" t="s">
        <v>92</v>
      </c>
      <c r="F7" s="329" t="s">
        <v>113</v>
      </c>
      <c r="G7" s="330" t="s">
        <v>100</v>
      </c>
      <c r="H7" s="488" t="s">
        <v>90</v>
      </c>
      <c r="I7" s="31"/>
    </row>
    <row r="8" spans="1:15" ht="9.75" customHeight="1" x14ac:dyDescent="0.2">
      <c r="C8" s="13"/>
      <c r="D8" s="14"/>
      <c r="E8" s="81"/>
      <c r="F8" s="55"/>
      <c r="G8" s="149"/>
      <c r="H8" s="149"/>
      <c r="I8" s="31"/>
    </row>
    <row r="9" spans="1:15" ht="7.5" customHeight="1" x14ac:dyDescent="0.2">
      <c r="C9" s="13"/>
      <c r="D9" s="14"/>
      <c r="E9" s="81"/>
      <c r="F9" s="55"/>
      <c r="G9" s="149"/>
      <c r="H9" s="149"/>
      <c r="I9" s="31"/>
    </row>
    <row r="10" spans="1:15" ht="140.25" x14ac:dyDescent="0.2">
      <c r="C10" s="13"/>
      <c r="D10" s="19">
        <v>1</v>
      </c>
      <c r="E10" s="690" t="str">
        <f>'[1]Strategic Objective 1'!$B$7</f>
        <v>Aged Services</v>
      </c>
      <c r="F10" s="691" t="s">
        <v>115</v>
      </c>
      <c r="G10" s="698" t="s">
        <v>475</v>
      </c>
      <c r="H10" s="692">
        <f>'[2]10.3.1 Employees FTE status'!$B$29</f>
        <v>6.8552272148826852</v>
      </c>
      <c r="I10" s="31"/>
    </row>
    <row r="11" spans="1:15" ht="114.75" x14ac:dyDescent="0.2">
      <c r="C11" s="13"/>
      <c r="D11" s="85">
        <f>D10+1</f>
        <v>2</v>
      </c>
      <c r="E11" s="693" t="str">
        <f>'[1]Strategic Objective 1'!$B$11</f>
        <v>Active Communities</v>
      </c>
      <c r="F11" s="694" t="s">
        <v>115</v>
      </c>
      <c r="G11" s="549" t="s">
        <v>476</v>
      </c>
      <c r="H11" s="695">
        <f>'[2]10.3.1 Employees FTE status'!$B$38</f>
        <v>0.92105263157894735</v>
      </c>
      <c r="I11" s="31"/>
    </row>
    <row r="12" spans="1:15" s="83" customFormat="1" ht="127.5" x14ac:dyDescent="0.2">
      <c r="C12" s="84"/>
      <c r="D12" s="19">
        <f>D11+1</f>
        <v>3</v>
      </c>
      <c r="E12" s="693" t="str">
        <f>'[1]Strategic Objective 1'!$B$15</f>
        <v>Community Events</v>
      </c>
      <c r="F12" s="694" t="s">
        <v>115</v>
      </c>
      <c r="G12" s="549" t="s">
        <v>477</v>
      </c>
      <c r="H12" s="696">
        <f>'[2]10.3.1 Employees FTE status'!$B$42</f>
        <v>0.47368421052631576</v>
      </c>
      <c r="I12" s="31"/>
      <c r="J12" s="6"/>
      <c r="K12" s="6"/>
    </row>
    <row r="13" spans="1:15" ht="114.75" x14ac:dyDescent="0.2">
      <c r="C13" s="13"/>
      <c r="D13" s="19">
        <f>D12+1</f>
        <v>4</v>
      </c>
      <c r="E13" s="693" t="str">
        <f>'[1]Strategic Objective 1'!$B$19</f>
        <v>Maternal and Child Health (MCH)</v>
      </c>
      <c r="F13" s="694" t="s">
        <v>115</v>
      </c>
      <c r="G13" s="549" t="s">
        <v>478</v>
      </c>
      <c r="H13" s="696">
        <v>0</v>
      </c>
      <c r="I13" s="31"/>
    </row>
    <row r="14" spans="1:15" ht="140.25" x14ac:dyDescent="0.2">
      <c r="C14" s="13"/>
      <c r="D14" s="19">
        <f>D13+1</f>
        <v>5</v>
      </c>
      <c r="E14" s="693" t="str">
        <f>'[1]Strategic Objective 1'!$B$23</f>
        <v>Kindergarten</v>
      </c>
      <c r="F14" s="694" t="s">
        <v>115</v>
      </c>
      <c r="G14" s="549" t="s">
        <v>479</v>
      </c>
      <c r="H14" s="696">
        <v>0</v>
      </c>
      <c r="I14" s="31"/>
      <c r="L14" s="83"/>
      <c r="M14" s="83"/>
      <c r="N14" s="83"/>
      <c r="O14" s="83"/>
    </row>
    <row r="15" spans="1:15" ht="178.5" x14ac:dyDescent="0.2">
      <c r="C15" s="13"/>
      <c r="D15" s="85">
        <f t="shared" ref="D15:D78" si="0">D14+1</f>
        <v>6</v>
      </c>
      <c r="E15" s="693" t="str">
        <f>'[1]Strategic Objective 1'!$B$27</f>
        <v>Environmental Health</v>
      </c>
      <c r="F15" s="694" t="s">
        <v>115</v>
      </c>
      <c r="G15" s="549" t="s">
        <v>480</v>
      </c>
      <c r="H15" s="696">
        <f>'[2]10.3.1 Employees FTE status'!$B$41</f>
        <v>0.63157894736842102</v>
      </c>
      <c r="I15" s="31"/>
    </row>
    <row r="16" spans="1:15" ht="216.75" x14ac:dyDescent="0.2">
      <c r="C16" s="13"/>
      <c r="D16" s="19">
        <f t="shared" si="0"/>
        <v>7</v>
      </c>
      <c r="E16" s="693" t="str">
        <f>'[1]Strategic Objective 1'!$B$31&amp;" "&amp;'[1]Strategic Objective 1'!$B$32</f>
        <v>Asset Management and Appearance of Public Places</v>
      </c>
      <c r="F16" s="694" t="s">
        <v>115</v>
      </c>
      <c r="G16" s="549" t="s">
        <v>481</v>
      </c>
      <c r="H16" s="696">
        <v>0</v>
      </c>
      <c r="I16" s="31"/>
    </row>
    <row r="17" spans="3:9" ht="140.25" x14ac:dyDescent="0.2">
      <c r="C17" s="13"/>
      <c r="D17" s="19">
        <f t="shared" si="0"/>
        <v>8</v>
      </c>
      <c r="E17" s="693" t="str">
        <f>'[1]Strategic Objective 1'!$B$35</f>
        <v>Local Laws, Safety and Amenity</v>
      </c>
      <c r="F17" s="694" t="s">
        <v>115</v>
      </c>
      <c r="G17" s="549" t="s">
        <v>482</v>
      </c>
      <c r="H17" s="696">
        <f>'[2]10.3.1 Employees FTE status'!$B$34+(SUM('[3]2017-18 BUDGET'!$D$70:$D$78))-'[3]2017-18 BUDGET'!$D$75</f>
        <v>3.1209514170040489</v>
      </c>
      <c r="I17" s="31"/>
    </row>
    <row r="18" spans="3:9" ht="63.75" x14ac:dyDescent="0.2">
      <c r="C18" s="13"/>
      <c r="D18" s="19">
        <f t="shared" si="0"/>
        <v>9</v>
      </c>
      <c r="E18" s="693" t="str">
        <f>'[1]Strategic Objective 1'!$B$39</f>
        <v>Street Lighting</v>
      </c>
      <c r="F18" s="694" t="s">
        <v>115</v>
      </c>
      <c r="G18" s="549" t="s">
        <v>483</v>
      </c>
      <c r="H18" s="696">
        <v>0</v>
      </c>
      <c r="I18" s="31"/>
    </row>
    <row r="19" spans="3:9" ht="63.75" x14ac:dyDescent="0.2">
      <c r="C19" s="13"/>
      <c r="D19" s="85">
        <f t="shared" si="0"/>
        <v>10</v>
      </c>
      <c r="E19" s="693" t="str">
        <f>'[1]Strategic Objective 1'!$B$43</f>
        <v>Powerline Safety</v>
      </c>
      <c r="F19" s="694" t="s">
        <v>115</v>
      </c>
      <c r="G19" s="549" t="s">
        <v>484</v>
      </c>
      <c r="H19" s="696">
        <v>0</v>
      </c>
      <c r="I19" s="31"/>
    </row>
    <row r="20" spans="3:9" ht="127.5" x14ac:dyDescent="0.2">
      <c r="C20" s="13"/>
      <c r="D20" s="19">
        <f t="shared" si="0"/>
        <v>11</v>
      </c>
      <c r="E20" s="693" t="str">
        <f>'[1]Strategic Objective 1'!$B$47</f>
        <v>Library</v>
      </c>
      <c r="F20" s="694" t="s">
        <v>115</v>
      </c>
      <c r="G20" s="549" t="s">
        <v>485</v>
      </c>
      <c r="H20" s="696">
        <v>0</v>
      </c>
      <c r="I20" s="31"/>
    </row>
    <row r="21" spans="3:9" ht="153" x14ac:dyDescent="0.2">
      <c r="C21" s="13"/>
      <c r="D21" s="19">
        <f t="shared" si="0"/>
        <v>12</v>
      </c>
      <c r="E21" s="697" t="str">
        <f>'[1]Strategic Objective 1'!$B$51</f>
        <v>Recreation, Arts and Culture</v>
      </c>
      <c r="F21" s="694" t="s">
        <v>115</v>
      </c>
      <c r="G21" s="549" t="s">
        <v>486</v>
      </c>
      <c r="H21" s="696">
        <v>0</v>
      </c>
      <c r="I21" s="31"/>
    </row>
    <row r="22" spans="3:9" ht="165.75" x14ac:dyDescent="0.2">
      <c r="C22" s="13"/>
      <c r="D22" s="85">
        <f t="shared" si="0"/>
        <v>13</v>
      </c>
      <c r="E22" s="697" t="str">
        <f>'[1]Strategic Objective 2'!$B$7</f>
        <v>Environmental Sustainability</v>
      </c>
      <c r="F22" s="694" t="s">
        <v>99</v>
      </c>
      <c r="G22" s="549" t="s">
        <v>487</v>
      </c>
      <c r="H22" s="696">
        <f>'[2]10.3.1 Employees FTE status'!$B$40</f>
        <v>0.76315789473684215</v>
      </c>
      <c r="I22" s="31"/>
    </row>
    <row r="23" spans="3:9" ht="127.5" x14ac:dyDescent="0.2">
      <c r="C23" s="13"/>
      <c r="D23" s="19">
        <f t="shared" si="0"/>
        <v>14</v>
      </c>
      <c r="E23" s="697" t="str">
        <f>'[1]Strategic Objective 2'!$B$11</f>
        <v>Coastal Protection</v>
      </c>
      <c r="F23" s="694" t="s">
        <v>115</v>
      </c>
      <c r="G23" s="549" t="s">
        <v>488</v>
      </c>
      <c r="H23" s="696">
        <f>'[2]10.3.1 Employees FTE status'!$B$37</f>
        <v>1.1000000000000001</v>
      </c>
      <c r="I23" s="31"/>
    </row>
    <row r="24" spans="3:9" ht="229.5" x14ac:dyDescent="0.2">
      <c r="C24" s="13"/>
      <c r="D24" s="19">
        <f t="shared" si="0"/>
        <v>15</v>
      </c>
      <c r="E24" s="697" t="str">
        <f>'[1]Strategic Objective 2'!$B$15</f>
        <v>Waste Management and Recycling</v>
      </c>
      <c r="F24" s="694" t="s">
        <v>115</v>
      </c>
      <c r="G24" s="549" t="s">
        <v>489</v>
      </c>
      <c r="H24" s="696">
        <v>0</v>
      </c>
      <c r="I24" s="31"/>
    </row>
    <row r="25" spans="3:9" ht="191.25" x14ac:dyDescent="0.2">
      <c r="C25" s="13"/>
      <c r="D25" s="19">
        <f t="shared" si="0"/>
        <v>16</v>
      </c>
      <c r="E25" s="697" t="str">
        <f>'[1]Strategic Objective 3'!$B$7&amp;" "&amp;'[1]Strategic Objective 3'!$B$8</f>
        <v>Tourist Parks and Boat Ramp Services</v>
      </c>
      <c r="F25" s="694" t="s">
        <v>115</v>
      </c>
      <c r="G25" s="549" t="s">
        <v>490</v>
      </c>
      <c r="H25" s="696">
        <f>'[2]10.3.1 Employees FTE status'!$B$30</f>
        <v>5.9441295546558699</v>
      </c>
      <c r="I25" s="31"/>
    </row>
    <row r="26" spans="3:9" ht="127.5" x14ac:dyDescent="0.2">
      <c r="C26" s="13"/>
      <c r="D26" s="85">
        <f t="shared" si="0"/>
        <v>17</v>
      </c>
      <c r="E26" s="697" t="str">
        <f>'[1]Strategic Objective 3'!$B$11</f>
        <v>Visitor Information Centre (VIC)</v>
      </c>
      <c r="F26" s="694" t="s">
        <v>115</v>
      </c>
      <c r="G26" s="549" t="s">
        <v>491</v>
      </c>
      <c r="H26" s="696">
        <f>'[2]10.3.1 Employees FTE status'!$B$36+(SUM('[3]2017-18 BUDGET'!$D$48:$D$49))</f>
        <v>2.0973684210526318</v>
      </c>
      <c r="I26" s="31"/>
    </row>
    <row r="27" spans="3:9" ht="191.25" x14ac:dyDescent="0.2">
      <c r="C27" s="13"/>
      <c r="D27" s="19">
        <f t="shared" si="0"/>
        <v>18</v>
      </c>
      <c r="E27" s="697" t="str">
        <f>'[1]Strategic Objective 3'!$B$15</f>
        <v>Tourism and Economic Development</v>
      </c>
      <c r="F27" s="694" t="s">
        <v>99</v>
      </c>
      <c r="G27" s="549" t="s">
        <v>492</v>
      </c>
      <c r="H27" s="696">
        <f>'[2]10.3.1 Employees FTE status'!$B$39</f>
        <v>0.89473684210526316</v>
      </c>
      <c r="I27" s="31"/>
    </row>
    <row r="28" spans="3:9" ht="127.5" x14ac:dyDescent="0.2">
      <c r="C28" s="13"/>
      <c r="D28" s="19">
        <f t="shared" si="0"/>
        <v>19</v>
      </c>
      <c r="E28" s="697" t="str">
        <f>'[1]Strategic Objective 4'!$B$7</f>
        <v>Design and Project Management</v>
      </c>
      <c r="F28" s="694" t="s">
        <v>99</v>
      </c>
      <c r="G28" s="549" t="s">
        <v>493</v>
      </c>
      <c r="H28" s="696">
        <f>'[2]10.3.1 Employees FTE status'!$B$35</f>
        <v>1.5</v>
      </c>
      <c r="I28" s="31"/>
    </row>
    <row r="29" spans="3:9" ht="191.25" x14ac:dyDescent="0.2">
      <c r="C29" s="13"/>
      <c r="D29" s="19">
        <f t="shared" si="0"/>
        <v>20</v>
      </c>
      <c r="E29" s="697" t="str">
        <f>'[1]Strategic Objective 4'!$B$11</f>
        <v>Land Use Planning</v>
      </c>
      <c r="F29" s="694" t="s">
        <v>115</v>
      </c>
      <c r="G29" s="549" t="s">
        <v>494</v>
      </c>
      <c r="H29" s="696">
        <f>'[2]10.3.1 Employees FTE status'!$B$33</f>
        <v>2.1447368421052633</v>
      </c>
      <c r="I29" s="31"/>
    </row>
    <row r="30" spans="3:9" ht="114.75" x14ac:dyDescent="0.2">
      <c r="C30" s="13"/>
      <c r="D30" s="85">
        <f t="shared" si="0"/>
        <v>21</v>
      </c>
      <c r="E30" s="697" t="str">
        <f>'[1]Strategic Objective 4'!$B$15</f>
        <v>Heritage Conservation Advice</v>
      </c>
      <c r="F30" s="694" t="s">
        <v>115</v>
      </c>
      <c r="G30" s="549" t="s">
        <v>495</v>
      </c>
      <c r="H30" s="696">
        <v>0</v>
      </c>
      <c r="I30" s="31"/>
    </row>
    <row r="31" spans="3:9" ht="102" x14ac:dyDescent="0.2">
      <c r="C31" s="13"/>
      <c r="D31" s="19">
        <f t="shared" si="0"/>
        <v>22</v>
      </c>
      <c r="E31" s="697" t="str">
        <f>'[1]Strategic Objective 4'!$B$19</f>
        <v>Building Control</v>
      </c>
      <c r="F31" s="694" t="s">
        <v>115</v>
      </c>
      <c r="G31" s="549" t="s">
        <v>496</v>
      </c>
      <c r="H31" s="696">
        <v>0</v>
      </c>
      <c r="I31" s="31"/>
    </row>
    <row r="32" spans="3:9" ht="127.5" x14ac:dyDescent="0.2">
      <c r="C32" s="13"/>
      <c r="D32" s="19">
        <f t="shared" si="0"/>
        <v>23</v>
      </c>
      <c r="E32" s="697" t="str">
        <f>'[1]Strategic Objective 5'!$B$7</f>
        <v>Council Governance</v>
      </c>
      <c r="F32" s="694" t="s">
        <v>99</v>
      </c>
      <c r="G32" s="549" t="s">
        <v>497</v>
      </c>
      <c r="H32" s="696">
        <v>0</v>
      </c>
      <c r="I32" s="31"/>
    </row>
    <row r="33" spans="3:9" ht="140.25" x14ac:dyDescent="0.2">
      <c r="C33" s="13"/>
      <c r="D33" s="85">
        <f t="shared" si="0"/>
        <v>24</v>
      </c>
      <c r="E33" s="697" t="str">
        <f>'[1]Strategic Objective 5'!$B$11&amp;" "&amp;'[1]Strategic Objective 5'!$B$12</f>
        <v>Organisation Performance and Compliance</v>
      </c>
      <c r="F33" s="694" t="s">
        <v>114</v>
      </c>
      <c r="G33" s="549" t="s">
        <v>498</v>
      </c>
      <c r="H33" s="696">
        <f>'[2]10.3.1 Employees FTE status'!$B$28-'[3]2017-18 BUDGET'!$D$84</f>
        <v>5.4210526315789478</v>
      </c>
      <c r="I33" s="31"/>
    </row>
    <row r="34" spans="3:9" ht="165.75" x14ac:dyDescent="0.2">
      <c r="C34" s="13"/>
      <c r="D34" s="19">
        <f t="shared" si="0"/>
        <v>25</v>
      </c>
      <c r="E34" s="697" t="str">
        <f>'[1]Strategic Objective 5'!$B$15&amp;" "&amp;'[1]Strategic Objective 5'!$B$16</f>
        <v>Community Engagement and Customer Service</v>
      </c>
      <c r="F34" s="694" t="s">
        <v>99</v>
      </c>
      <c r="G34" s="549" t="s">
        <v>499</v>
      </c>
      <c r="H34" s="696">
        <f>'[2]10.3.1 Employees FTE status'!$B$31+(SUM('[3]2017-18 BUDGET'!$D$97:$D$98))-'[3]2017-18 BUDGET'!$D$91-0.1</f>
        <v>5.1315789473684204</v>
      </c>
      <c r="I34" s="31"/>
    </row>
    <row r="35" spans="3:9" ht="280.5" x14ac:dyDescent="0.2">
      <c r="C35" s="13"/>
      <c r="D35" s="19">
        <f t="shared" si="0"/>
        <v>26</v>
      </c>
      <c r="E35" s="697" t="str">
        <f>'[1]Strategic Objective 5'!$B$19</f>
        <v>Financial and Risk Management</v>
      </c>
      <c r="F35" s="694" t="s">
        <v>114</v>
      </c>
      <c r="G35" s="549" t="s">
        <v>500</v>
      </c>
      <c r="H35" s="696">
        <f>'[2]10.3.1 Employees FTE status'!$B$32</f>
        <v>3.8210526315789473</v>
      </c>
      <c r="I35" s="31"/>
    </row>
    <row r="36" spans="3:9" x14ac:dyDescent="0.2">
      <c r="C36" s="13"/>
      <c r="D36" s="19">
        <f t="shared" si="0"/>
        <v>27</v>
      </c>
      <c r="E36" s="99"/>
      <c r="F36" s="103"/>
      <c r="G36" s="548"/>
      <c r="H36" s="660"/>
      <c r="I36" s="31"/>
    </row>
    <row r="37" spans="3:9" x14ac:dyDescent="0.2">
      <c r="C37" s="13"/>
      <c r="D37" s="85">
        <f t="shared" si="0"/>
        <v>28</v>
      </c>
      <c r="E37" s="697" t="s">
        <v>502</v>
      </c>
      <c r="F37" s="700" t="s">
        <v>115</v>
      </c>
      <c r="G37" s="701" t="s">
        <v>501</v>
      </c>
      <c r="H37" s="696">
        <f>'[2]10.3.1 Employees FTE status'!$B$46</f>
        <v>1.6</v>
      </c>
      <c r="I37" s="31"/>
    </row>
    <row r="38" spans="3:9" x14ac:dyDescent="0.2">
      <c r="C38" s="13"/>
      <c r="D38" s="19">
        <f t="shared" si="0"/>
        <v>29</v>
      </c>
      <c r="E38" s="99"/>
      <c r="F38" s="103"/>
      <c r="G38" s="548"/>
      <c r="H38" s="660"/>
      <c r="I38" s="31"/>
    </row>
    <row r="39" spans="3:9" x14ac:dyDescent="0.2">
      <c r="C39" s="13"/>
      <c r="D39" s="19">
        <f t="shared" si="0"/>
        <v>30</v>
      </c>
      <c r="E39" s="99"/>
      <c r="F39" s="103"/>
      <c r="G39" s="548"/>
      <c r="H39" s="660"/>
      <c r="I39" s="31"/>
    </row>
    <row r="40" spans="3:9" x14ac:dyDescent="0.2">
      <c r="C40" s="13"/>
      <c r="D40" s="19">
        <f t="shared" si="0"/>
        <v>31</v>
      </c>
      <c r="E40" s="99"/>
      <c r="F40" s="103"/>
      <c r="G40" s="548"/>
      <c r="H40" s="660"/>
      <c r="I40" s="31"/>
    </row>
    <row r="41" spans="3:9" x14ac:dyDescent="0.2">
      <c r="C41" s="13"/>
      <c r="D41" s="85">
        <f t="shared" si="0"/>
        <v>32</v>
      </c>
      <c r="E41" s="99"/>
      <c r="F41" s="103"/>
      <c r="G41" s="548"/>
      <c r="H41" s="660"/>
      <c r="I41" s="31"/>
    </row>
    <row r="42" spans="3:9" x14ac:dyDescent="0.2">
      <c r="C42" s="13"/>
      <c r="D42" s="19">
        <f t="shared" si="0"/>
        <v>33</v>
      </c>
      <c r="E42" s="99"/>
      <c r="F42" s="103"/>
      <c r="G42" s="548"/>
      <c r="H42" s="660"/>
      <c r="I42" s="31"/>
    </row>
    <row r="43" spans="3:9" x14ac:dyDescent="0.2">
      <c r="C43" s="13"/>
      <c r="D43" s="19">
        <f t="shared" si="0"/>
        <v>34</v>
      </c>
      <c r="E43" s="99"/>
      <c r="F43" s="103"/>
      <c r="G43" s="548"/>
      <c r="H43" s="660"/>
      <c r="I43" s="31"/>
    </row>
    <row r="44" spans="3:9" x14ac:dyDescent="0.2">
      <c r="C44" s="13"/>
      <c r="D44" s="85">
        <f t="shared" si="0"/>
        <v>35</v>
      </c>
      <c r="E44" s="99"/>
      <c r="F44" s="103"/>
      <c r="G44" s="548"/>
      <c r="H44" s="660"/>
      <c r="I44" s="31"/>
    </row>
    <row r="45" spans="3:9" x14ac:dyDescent="0.2">
      <c r="C45" s="13"/>
      <c r="D45" s="19">
        <f t="shared" si="0"/>
        <v>36</v>
      </c>
      <c r="E45" s="99"/>
      <c r="F45" s="103"/>
      <c r="G45" s="548"/>
      <c r="H45" s="660"/>
      <c r="I45" s="31"/>
    </row>
    <row r="46" spans="3:9" x14ac:dyDescent="0.2">
      <c r="C46" s="13"/>
      <c r="D46" s="19">
        <f t="shared" si="0"/>
        <v>37</v>
      </c>
      <c r="E46" s="99"/>
      <c r="F46" s="103"/>
      <c r="G46" s="548"/>
      <c r="H46" s="660"/>
      <c r="I46" s="31"/>
    </row>
    <row r="47" spans="3:9" x14ac:dyDescent="0.2">
      <c r="C47" s="13"/>
      <c r="D47" s="19">
        <f t="shared" si="0"/>
        <v>38</v>
      </c>
      <c r="E47" s="99"/>
      <c r="F47" s="103"/>
      <c r="G47" s="548"/>
      <c r="H47" s="660"/>
      <c r="I47" s="31"/>
    </row>
    <row r="48" spans="3:9" x14ac:dyDescent="0.2">
      <c r="C48" s="13"/>
      <c r="D48" s="85">
        <f t="shared" si="0"/>
        <v>39</v>
      </c>
      <c r="E48" s="99"/>
      <c r="F48" s="103"/>
      <c r="G48" s="548"/>
      <c r="H48" s="660"/>
      <c r="I48" s="31"/>
    </row>
    <row r="49" spans="3:12" x14ac:dyDescent="0.2">
      <c r="C49" s="13"/>
      <c r="D49" s="19">
        <f t="shared" si="0"/>
        <v>40</v>
      </c>
      <c r="E49" s="99"/>
      <c r="F49" s="103"/>
      <c r="G49" s="548"/>
      <c r="H49" s="660"/>
      <c r="I49" s="31"/>
    </row>
    <row r="50" spans="3:12" x14ac:dyDescent="0.2">
      <c r="C50" s="13"/>
      <c r="D50" s="19">
        <f t="shared" si="0"/>
        <v>41</v>
      </c>
      <c r="E50" s="99"/>
      <c r="F50" s="103"/>
      <c r="G50" s="548"/>
      <c r="H50" s="660"/>
      <c r="I50" s="31"/>
    </row>
    <row r="51" spans="3:12" x14ac:dyDescent="0.2">
      <c r="C51" s="13"/>
      <c r="D51" s="19">
        <f t="shared" si="0"/>
        <v>42</v>
      </c>
      <c r="E51" s="99"/>
      <c r="F51" s="103"/>
      <c r="G51" s="548"/>
      <c r="H51" s="660"/>
      <c r="I51" s="31"/>
    </row>
    <row r="52" spans="3:12" x14ac:dyDescent="0.2">
      <c r="C52" s="13"/>
      <c r="D52" s="85">
        <f t="shared" si="0"/>
        <v>43</v>
      </c>
      <c r="E52" s="99"/>
      <c r="F52" s="103"/>
      <c r="G52" s="548"/>
      <c r="H52" s="660"/>
      <c r="I52" s="31"/>
    </row>
    <row r="53" spans="3:12" x14ac:dyDescent="0.2">
      <c r="C53" s="13"/>
      <c r="D53" s="19">
        <f t="shared" si="0"/>
        <v>44</v>
      </c>
      <c r="E53" s="99"/>
      <c r="F53" s="103"/>
      <c r="G53" s="548"/>
      <c r="H53" s="660"/>
      <c r="I53" s="31"/>
    </row>
    <row r="54" spans="3:12" ht="19.5" customHeight="1" x14ac:dyDescent="0.2">
      <c r="C54" s="13"/>
      <c r="D54" s="19">
        <f t="shared" si="0"/>
        <v>45</v>
      </c>
      <c r="E54" s="99"/>
      <c r="F54" s="103"/>
      <c r="G54" s="101"/>
      <c r="H54" s="661"/>
      <c r="I54" s="31"/>
    </row>
    <row r="55" spans="3:12" ht="19.5" customHeight="1" x14ac:dyDescent="0.2">
      <c r="C55" s="13"/>
      <c r="D55" s="85">
        <f t="shared" si="0"/>
        <v>46</v>
      </c>
      <c r="E55" s="99"/>
      <c r="F55" s="103"/>
      <c r="G55" s="101"/>
      <c r="H55" s="661"/>
      <c r="I55" s="31"/>
    </row>
    <row r="56" spans="3:12" ht="19.5" customHeight="1" x14ac:dyDescent="0.2">
      <c r="C56" s="13"/>
      <c r="D56" s="19">
        <f t="shared" si="0"/>
        <v>47</v>
      </c>
      <c r="E56" s="99"/>
      <c r="F56" s="103"/>
      <c r="G56" s="101"/>
      <c r="H56" s="661"/>
      <c r="I56" s="31"/>
    </row>
    <row r="57" spans="3:12" ht="19.5" customHeight="1" x14ac:dyDescent="0.2">
      <c r="C57" s="13"/>
      <c r="D57" s="19">
        <f t="shared" si="0"/>
        <v>48</v>
      </c>
      <c r="E57" s="99"/>
      <c r="F57" s="103"/>
      <c r="G57" s="101"/>
      <c r="H57" s="661"/>
      <c r="I57" s="31"/>
    </row>
    <row r="58" spans="3:12" ht="19.5" customHeight="1" x14ac:dyDescent="0.2">
      <c r="C58" s="13"/>
      <c r="D58" s="19">
        <f t="shared" si="0"/>
        <v>49</v>
      </c>
      <c r="E58" s="99"/>
      <c r="F58" s="103"/>
      <c r="G58" s="101"/>
      <c r="H58" s="661"/>
      <c r="I58" s="31"/>
      <c r="L58" s="14"/>
    </row>
    <row r="59" spans="3:12" ht="19.5" customHeight="1" x14ac:dyDescent="0.2">
      <c r="C59" s="13"/>
      <c r="D59" s="85">
        <f t="shared" si="0"/>
        <v>50</v>
      </c>
      <c r="E59" s="99"/>
      <c r="F59" s="103"/>
      <c r="G59" s="101"/>
      <c r="H59" s="661"/>
      <c r="I59" s="31"/>
    </row>
    <row r="60" spans="3:12" ht="19.5" customHeight="1" x14ac:dyDescent="0.2">
      <c r="C60" s="13"/>
      <c r="D60" s="19">
        <f t="shared" si="0"/>
        <v>51</v>
      </c>
      <c r="E60" s="99"/>
      <c r="F60" s="103"/>
      <c r="G60" s="101"/>
      <c r="H60" s="661"/>
      <c r="I60" s="31"/>
    </row>
    <row r="61" spans="3:12" ht="19.5" customHeight="1" x14ac:dyDescent="0.2">
      <c r="C61" s="13"/>
      <c r="D61" s="19">
        <f t="shared" si="0"/>
        <v>52</v>
      </c>
      <c r="E61" s="99"/>
      <c r="F61" s="103"/>
      <c r="G61" s="101"/>
      <c r="H61" s="661"/>
      <c r="I61" s="31"/>
    </row>
    <row r="62" spans="3:12" ht="19.5" customHeight="1" x14ac:dyDescent="0.2">
      <c r="C62" s="13"/>
      <c r="D62" s="19">
        <f t="shared" si="0"/>
        <v>53</v>
      </c>
      <c r="E62" s="99"/>
      <c r="F62" s="103"/>
      <c r="G62" s="101"/>
      <c r="H62" s="661"/>
      <c r="I62" s="31"/>
    </row>
    <row r="63" spans="3:12" ht="19.5" customHeight="1" x14ac:dyDescent="0.2">
      <c r="C63" s="13"/>
      <c r="D63" s="85">
        <f t="shared" si="0"/>
        <v>54</v>
      </c>
      <c r="E63" s="99"/>
      <c r="F63" s="103"/>
      <c r="G63" s="101"/>
      <c r="H63" s="661"/>
      <c r="I63" s="31"/>
    </row>
    <row r="64" spans="3:12" ht="19.5" customHeight="1" x14ac:dyDescent="0.2">
      <c r="C64" s="13"/>
      <c r="D64" s="19">
        <f t="shared" si="0"/>
        <v>55</v>
      </c>
      <c r="E64" s="99"/>
      <c r="F64" s="103"/>
      <c r="G64" s="101"/>
      <c r="H64" s="661"/>
      <c r="I64" s="31"/>
    </row>
    <row r="65" spans="3:15" ht="19.5" customHeight="1" x14ac:dyDescent="0.2">
      <c r="C65" s="13"/>
      <c r="D65" s="19">
        <f t="shared" si="0"/>
        <v>56</v>
      </c>
      <c r="E65" s="99"/>
      <c r="F65" s="103"/>
      <c r="G65" s="101"/>
      <c r="H65" s="661"/>
      <c r="I65" s="31"/>
    </row>
    <row r="66" spans="3:15" ht="19.5" customHeight="1" x14ac:dyDescent="0.2">
      <c r="C66" s="13"/>
      <c r="D66" s="85">
        <f t="shared" si="0"/>
        <v>57</v>
      </c>
      <c r="E66" s="99"/>
      <c r="F66" s="103"/>
      <c r="G66" s="101"/>
      <c r="H66" s="661"/>
      <c r="I66" s="31"/>
    </row>
    <row r="67" spans="3:15" ht="19.5" customHeight="1" x14ac:dyDescent="0.2">
      <c r="C67" s="13"/>
      <c r="D67" s="19">
        <f t="shared" si="0"/>
        <v>58</v>
      </c>
      <c r="E67" s="99"/>
      <c r="F67" s="103"/>
      <c r="G67" s="101"/>
      <c r="H67" s="661"/>
      <c r="I67" s="31"/>
    </row>
    <row r="68" spans="3:15" ht="19.5" customHeight="1" x14ac:dyDescent="0.2">
      <c r="C68" s="13"/>
      <c r="D68" s="19">
        <f t="shared" si="0"/>
        <v>59</v>
      </c>
      <c r="E68" s="99"/>
      <c r="F68" s="103"/>
      <c r="G68" s="101"/>
      <c r="H68" s="661"/>
      <c r="I68" s="31"/>
    </row>
    <row r="69" spans="3:15" ht="19.5" customHeight="1" x14ac:dyDescent="0.2">
      <c r="C69" s="13"/>
      <c r="D69" s="85">
        <f t="shared" si="0"/>
        <v>60</v>
      </c>
      <c r="E69" s="99"/>
      <c r="F69" s="103"/>
      <c r="G69" s="101"/>
      <c r="H69" s="661"/>
      <c r="I69" s="31"/>
    </row>
    <row r="70" spans="3:15" ht="19.5" customHeight="1" x14ac:dyDescent="0.2">
      <c r="C70" s="13"/>
      <c r="D70" s="19">
        <f t="shared" si="0"/>
        <v>61</v>
      </c>
      <c r="E70" s="99"/>
      <c r="F70" s="103"/>
      <c r="G70" s="101"/>
      <c r="H70" s="661"/>
      <c r="I70" s="31"/>
    </row>
    <row r="71" spans="3:15" ht="19.5" customHeight="1" x14ac:dyDescent="0.2">
      <c r="C71" s="13"/>
      <c r="D71" s="19">
        <f t="shared" si="0"/>
        <v>62</v>
      </c>
      <c r="E71" s="99"/>
      <c r="F71" s="103"/>
      <c r="G71" s="101"/>
      <c r="H71" s="661"/>
      <c r="I71" s="31"/>
    </row>
    <row r="72" spans="3:15" ht="19.5" customHeight="1" x14ac:dyDescent="0.2">
      <c r="C72" s="13"/>
      <c r="D72" s="85">
        <f t="shared" si="0"/>
        <v>63</v>
      </c>
      <c r="E72" s="99"/>
      <c r="F72" s="103"/>
      <c r="G72" s="101"/>
      <c r="H72" s="661"/>
      <c r="I72" s="31"/>
    </row>
    <row r="73" spans="3:15" ht="19.5" customHeight="1" x14ac:dyDescent="0.2">
      <c r="C73" s="13"/>
      <c r="D73" s="19">
        <f t="shared" si="0"/>
        <v>64</v>
      </c>
      <c r="E73" s="99"/>
      <c r="F73" s="103"/>
      <c r="G73" s="101"/>
      <c r="H73" s="661"/>
      <c r="I73" s="31"/>
    </row>
    <row r="74" spans="3:15" ht="19.5" customHeight="1" x14ac:dyDescent="0.2">
      <c r="C74" s="13"/>
      <c r="D74" s="19">
        <f t="shared" si="0"/>
        <v>65</v>
      </c>
      <c r="E74" s="99"/>
      <c r="F74" s="103"/>
      <c r="G74" s="101"/>
      <c r="H74" s="661"/>
      <c r="I74" s="31"/>
    </row>
    <row r="75" spans="3:15" ht="19.5" customHeight="1" x14ac:dyDescent="0.2">
      <c r="C75" s="13"/>
      <c r="D75" s="85">
        <f t="shared" si="0"/>
        <v>66</v>
      </c>
      <c r="E75" s="99"/>
      <c r="F75" s="103"/>
      <c r="G75" s="101"/>
      <c r="H75" s="661"/>
      <c r="I75" s="31"/>
    </row>
    <row r="76" spans="3:15" ht="19.5" customHeight="1" x14ac:dyDescent="0.2">
      <c r="C76" s="13"/>
      <c r="D76" s="19">
        <f t="shared" si="0"/>
        <v>67</v>
      </c>
      <c r="E76" s="99"/>
      <c r="F76" s="103"/>
      <c r="G76" s="101"/>
      <c r="H76" s="661"/>
      <c r="I76" s="31"/>
      <c r="O76" s="52"/>
    </row>
    <row r="77" spans="3:15" ht="19.5" customHeight="1" x14ac:dyDescent="0.2">
      <c r="C77" s="13"/>
      <c r="D77" s="19">
        <f t="shared" si="0"/>
        <v>68</v>
      </c>
      <c r="E77" s="99"/>
      <c r="F77" s="103"/>
      <c r="G77" s="101"/>
      <c r="H77" s="661"/>
      <c r="I77" s="31"/>
      <c r="O77" s="52"/>
    </row>
    <row r="78" spans="3:15" ht="19.5" customHeight="1" x14ac:dyDescent="0.2">
      <c r="C78" s="13"/>
      <c r="D78" s="85">
        <f t="shared" si="0"/>
        <v>69</v>
      </c>
      <c r="E78" s="99"/>
      <c r="F78" s="103"/>
      <c r="G78" s="101"/>
      <c r="H78" s="661"/>
      <c r="I78" s="31"/>
      <c r="O78" s="52"/>
    </row>
    <row r="79" spans="3:15" ht="19.5" customHeight="1" x14ac:dyDescent="0.2">
      <c r="C79" s="13"/>
      <c r="D79" s="19">
        <f t="shared" ref="D79:D142" si="1">D78+1</f>
        <v>70</v>
      </c>
      <c r="E79" s="99"/>
      <c r="F79" s="103"/>
      <c r="G79" s="101"/>
      <c r="H79" s="661"/>
      <c r="I79" s="31"/>
      <c r="O79" s="52"/>
    </row>
    <row r="80" spans="3:15" ht="19.5" customHeight="1" x14ac:dyDescent="0.2">
      <c r="C80" s="13"/>
      <c r="D80" s="19">
        <f t="shared" si="1"/>
        <v>71</v>
      </c>
      <c r="E80" s="99"/>
      <c r="F80" s="103"/>
      <c r="G80" s="101"/>
      <c r="H80" s="661"/>
      <c r="I80" s="31"/>
      <c r="O80" s="52"/>
    </row>
    <row r="81" spans="3:15" ht="19.5" customHeight="1" x14ac:dyDescent="0.2">
      <c r="C81" s="13"/>
      <c r="D81" s="85">
        <f t="shared" si="1"/>
        <v>72</v>
      </c>
      <c r="E81" s="99"/>
      <c r="F81" s="103"/>
      <c r="G81" s="101"/>
      <c r="H81" s="661"/>
      <c r="I81" s="31"/>
      <c r="O81" s="52"/>
    </row>
    <row r="82" spans="3:15" ht="19.5" customHeight="1" x14ac:dyDescent="0.2">
      <c r="C82" s="13"/>
      <c r="D82" s="19">
        <f t="shared" si="1"/>
        <v>73</v>
      </c>
      <c r="E82" s="99"/>
      <c r="F82" s="103"/>
      <c r="G82" s="101"/>
      <c r="H82" s="661"/>
      <c r="I82" s="31"/>
      <c r="O82" s="52"/>
    </row>
    <row r="83" spans="3:15" ht="19.5" customHeight="1" x14ac:dyDescent="0.2">
      <c r="C83" s="13"/>
      <c r="D83" s="19">
        <f t="shared" si="1"/>
        <v>74</v>
      </c>
      <c r="E83" s="99"/>
      <c r="F83" s="103"/>
      <c r="G83" s="101"/>
      <c r="H83" s="661"/>
      <c r="I83" s="31"/>
      <c r="O83" s="52"/>
    </row>
    <row r="84" spans="3:15" ht="19.5" customHeight="1" x14ac:dyDescent="0.2">
      <c r="C84" s="13"/>
      <c r="D84" s="85">
        <f t="shared" si="1"/>
        <v>75</v>
      </c>
      <c r="E84" s="99"/>
      <c r="F84" s="103"/>
      <c r="G84" s="101"/>
      <c r="H84" s="661"/>
      <c r="I84" s="31"/>
      <c r="O84" s="52"/>
    </row>
    <row r="85" spans="3:15" ht="19.5" hidden="1" customHeight="1" x14ac:dyDescent="0.2">
      <c r="C85" s="13"/>
      <c r="D85" s="19">
        <f t="shared" si="1"/>
        <v>76</v>
      </c>
      <c r="E85" s="99"/>
      <c r="F85" s="103"/>
      <c r="G85" s="101"/>
      <c r="H85" s="661"/>
      <c r="I85" s="31"/>
      <c r="O85" s="52"/>
    </row>
    <row r="86" spans="3:15" ht="19.5" hidden="1" customHeight="1" x14ac:dyDescent="0.2">
      <c r="C86" s="13"/>
      <c r="D86" s="19">
        <f t="shared" si="1"/>
        <v>77</v>
      </c>
      <c r="E86" s="99"/>
      <c r="F86" s="103"/>
      <c r="G86" s="101"/>
      <c r="H86" s="661"/>
      <c r="I86" s="31"/>
      <c r="O86" s="52"/>
    </row>
    <row r="87" spans="3:15" ht="19.5" hidden="1" customHeight="1" x14ac:dyDescent="0.2">
      <c r="C87" s="13"/>
      <c r="D87" s="85">
        <f t="shared" si="1"/>
        <v>78</v>
      </c>
      <c r="E87" s="99"/>
      <c r="F87" s="103"/>
      <c r="G87" s="101"/>
      <c r="H87" s="661"/>
      <c r="I87" s="31"/>
      <c r="O87" s="52"/>
    </row>
    <row r="88" spans="3:15" ht="19.5" hidden="1" customHeight="1" x14ac:dyDescent="0.2">
      <c r="C88" s="13"/>
      <c r="D88" s="19">
        <f t="shared" si="1"/>
        <v>79</v>
      </c>
      <c r="E88" s="99"/>
      <c r="F88" s="103"/>
      <c r="G88" s="101"/>
      <c r="H88" s="661"/>
      <c r="I88" s="31"/>
      <c r="O88" s="52"/>
    </row>
    <row r="89" spans="3:15" ht="19.5" hidden="1" customHeight="1" x14ac:dyDescent="0.2">
      <c r="C89" s="13"/>
      <c r="D89" s="19">
        <f t="shared" si="1"/>
        <v>80</v>
      </c>
      <c r="E89" s="99"/>
      <c r="F89" s="103"/>
      <c r="G89" s="101"/>
      <c r="H89" s="661"/>
      <c r="I89" s="31"/>
      <c r="O89" s="52"/>
    </row>
    <row r="90" spans="3:15" ht="19.5" hidden="1" customHeight="1" x14ac:dyDescent="0.2">
      <c r="C90" s="13"/>
      <c r="D90" s="85">
        <f t="shared" si="1"/>
        <v>81</v>
      </c>
      <c r="E90" s="99"/>
      <c r="F90" s="103"/>
      <c r="G90" s="101"/>
      <c r="H90" s="661"/>
      <c r="I90" s="31"/>
      <c r="O90" s="52"/>
    </row>
    <row r="91" spans="3:15" ht="19.5" hidden="1" customHeight="1" x14ac:dyDescent="0.2">
      <c r="C91" s="13"/>
      <c r="D91" s="19">
        <f t="shared" si="1"/>
        <v>82</v>
      </c>
      <c r="E91" s="99"/>
      <c r="F91" s="103"/>
      <c r="G91" s="101"/>
      <c r="H91" s="661"/>
      <c r="I91" s="31"/>
      <c r="O91" s="52"/>
    </row>
    <row r="92" spans="3:15" ht="19.5" hidden="1" customHeight="1" x14ac:dyDescent="0.2">
      <c r="C92" s="13"/>
      <c r="D92" s="19">
        <f t="shared" si="1"/>
        <v>83</v>
      </c>
      <c r="E92" s="99"/>
      <c r="F92" s="103"/>
      <c r="G92" s="101"/>
      <c r="H92" s="661"/>
      <c r="I92" s="31"/>
      <c r="O92" s="52"/>
    </row>
    <row r="93" spans="3:15" ht="19.5" hidden="1" customHeight="1" x14ac:dyDescent="0.2">
      <c r="C93" s="13"/>
      <c r="D93" s="85">
        <f t="shared" si="1"/>
        <v>84</v>
      </c>
      <c r="E93" s="99"/>
      <c r="F93" s="103"/>
      <c r="G93" s="101"/>
      <c r="H93" s="661"/>
      <c r="I93" s="31"/>
      <c r="O93" s="52"/>
    </row>
    <row r="94" spans="3:15" ht="19.5" hidden="1" customHeight="1" x14ac:dyDescent="0.2">
      <c r="C94" s="13"/>
      <c r="D94" s="19">
        <f t="shared" si="1"/>
        <v>85</v>
      </c>
      <c r="E94" s="99"/>
      <c r="F94" s="103"/>
      <c r="G94" s="101"/>
      <c r="H94" s="661"/>
      <c r="I94" s="31"/>
      <c r="O94" s="52"/>
    </row>
    <row r="95" spans="3:15" ht="19.5" hidden="1" customHeight="1" x14ac:dyDescent="0.2">
      <c r="C95" s="13"/>
      <c r="D95" s="19">
        <f t="shared" si="1"/>
        <v>86</v>
      </c>
      <c r="E95" s="99"/>
      <c r="F95" s="103"/>
      <c r="G95" s="101"/>
      <c r="H95" s="661"/>
      <c r="I95" s="31"/>
      <c r="O95" s="52"/>
    </row>
    <row r="96" spans="3:15" ht="19.5" hidden="1" customHeight="1" x14ac:dyDescent="0.2">
      <c r="C96" s="13"/>
      <c r="D96" s="85">
        <f t="shared" si="1"/>
        <v>87</v>
      </c>
      <c r="E96" s="99"/>
      <c r="F96" s="103"/>
      <c r="G96" s="101"/>
      <c r="H96" s="661"/>
      <c r="I96" s="31"/>
      <c r="O96" s="52"/>
    </row>
    <row r="97" spans="3:15" ht="19.5" hidden="1" customHeight="1" x14ac:dyDescent="0.2">
      <c r="C97" s="13"/>
      <c r="D97" s="19">
        <f t="shared" si="1"/>
        <v>88</v>
      </c>
      <c r="E97" s="99"/>
      <c r="F97" s="103"/>
      <c r="G97" s="101"/>
      <c r="H97" s="661"/>
      <c r="I97" s="31"/>
      <c r="O97" s="52"/>
    </row>
    <row r="98" spans="3:15" ht="19.5" hidden="1" customHeight="1" x14ac:dyDescent="0.2">
      <c r="C98" s="13"/>
      <c r="D98" s="19">
        <f t="shared" si="1"/>
        <v>89</v>
      </c>
      <c r="E98" s="99"/>
      <c r="F98" s="103"/>
      <c r="G98" s="101"/>
      <c r="H98" s="661"/>
      <c r="I98" s="31"/>
      <c r="O98" s="52"/>
    </row>
    <row r="99" spans="3:15" ht="19.5" hidden="1" customHeight="1" x14ac:dyDescent="0.2">
      <c r="C99" s="13"/>
      <c r="D99" s="85">
        <f t="shared" si="1"/>
        <v>90</v>
      </c>
      <c r="E99" s="99"/>
      <c r="F99" s="103"/>
      <c r="G99" s="101"/>
      <c r="H99" s="661"/>
      <c r="I99" s="31"/>
      <c r="O99" s="52"/>
    </row>
    <row r="100" spans="3:15" ht="19.5" hidden="1" customHeight="1" x14ac:dyDescent="0.2">
      <c r="C100" s="13"/>
      <c r="D100" s="19">
        <f t="shared" si="1"/>
        <v>91</v>
      </c>
      <c r="E100" s="99"/>
      <c r="F100" s="103"/>
      <c r="G100" s="101"/>
      <c r="H100" s="661"/>
      <c r="I100" s="31"/>
      <c r="O100" s="52"/>
    </row>
    <row r="101" spans="3:15" ht="19.5" hidden="1" customHeight="1" x14ac:dyDescent="0.2">
      <c r="C101" s="13"/>
      <c r="D101" s="19">
        <f t="shared" si="1"/>
        <v>92</v>
      </c>
      <c r="E101" s="99"/>
      <c r="F101" s="103"/>
      <c r="G101" s="101"/>
      <c r="H101" s="661"/>
      <c r="I101" s="31"/>
      <c r="O101" s="52"/>
    </row>
    <row r="102" spans="3:15" ht="19.5" hidden="1" customHeight="1" x14ac:dyDescent="0.2">
      <c r="C102" s="13"/>
      <c r="D102" s="85">
        <f t="shared" si="1"/>
        <v>93</v>
      </c>
      <c r="E102" s="99"/>
      <c r="F102" s="103"/>
      <c r="G102" s="101"/>
      <c r="H102" s="661"/>
      <c r="I102" s="31"/>
      <c r="O102" s="52"/>
    </row>
    <row r="103" spans="3:15" ht="19.5" hidden="1" customHeight="1" x14ac:dyDescent="0.2">
      <c r="C103" s="13"/>
      <c r="D103" s="19">
        <f t="shared" si="1"/>
        <v>94</v>
      </c>
      <c r="E103" s="99"/>
      <c r="F103" s="103"/>
      <c r="G103" s="101"/>
      <c r="H103" s="661"/>
      <c r="I103" s="31"/>
      <c r="O103" s="52"/>
    </row>
    <row r="104" spans="3:15" ht="19.5" hidden="1" customHeight="1" x14ac:dyDescent="0.2">
      <c r="C104" s="13"/>
      <c r="D104" s="19">
        <f t="shared" si="1"/>
        <v>95</v>
      </c>
      <c r="E104" s="99"/>
      <c r="F104" s="103"/>
      <c r="G104" s="101"/>
      <c r="H104" s="661"/>
      <c r="I104" s="31"/>
      <c r="O104" s="52"/>
    </row>
    <row r="105" spans="3:15" ht="19.5" hidden="1" customHeight="1" x14ac:dyDescent="0.2">
      <c r="C105" s="13"/>
      <c r="D105" s="85">
        <f t="shared" si="1"/>
        <v>96</v>
      </c>
      <c r="E105" s="99"/>
      <c r="F105" s="103"/>
      <c r="G105" s="101"/>
      <c r="H105" s="661"/>
      <c r="I105" s="31"/>
      <c r="O105" s="52"/>
    </row>
    <row r="106" spans="3:15" ht="19.5" hidden="1" customHeight="1" x14ac:dyDescent="0.2">
      <c r="C106" s="13"/>
      <c r="D106" s="19">
        <f t="shared" si="1"/>
        <v>97</v>
      </c>
      <c r="E106" s="99"/>
      <c r="F106" s="103"/>
      <c r="G106" s="101"/>
      <c r="H106" s="661"/>
      <c r="I106" s="31"/>
      <c r="O106" s="52"/>
    </row>
    <row r="107" spans="3:15" ht="19.5" hidden="1" customHeight="1" x14ac:dyDescent="0.2">
      <c r="C107" s="13"/>
      <c r="D107" s="19">
        <f t="shared" si="1"/>
        <v>98</v>
      </c>
      <c r="E107" s="99"/>
      <c r="F107" s="103"/>
      <c r="G107" s="101"/>
      <c r="H107" s="661"/>
      <c r="I107" s="31"/>
      <c r="O107" s="52"/>
    </row>
    <row r="108" spans="3:15" ht="19.5" hidden="1" customHeight="1" x14ac:dyDescent="0.2">
      <c r="C108" s="13"/>
      <c r="D108" s="85">
        <f t="shared" si="1"/>
        <v>99</v>
      </c>
      <c r="E108" s="99"/>
      <c r="F108" s="103"/>
      <c r="G108" s="101"/>
      <c r="H108" s="661"/>
      <c r="I108" s="31"/>
      <c r="O108" s="52"/>
    </row>
    <row r="109" spans="3:15" ht="19.5" hidden="1" customHeight="1" x14ac:dyDescent="0.2">
      <c r="C109" s="13"/>
      <c r="D109" s="19">
        <f t="shared" si="1"/>
        <v>100</v>
      </c>
      <c r="E109" s="99"/>
      <c r="F109" s="103"/>
      <c r="G109" s="101"/>
      <c r="H109" s="661"/>
      <c r="I109" s="31"/>
      <c r="O109" s="52"/>
    </row>
    <row r="110" spans="3:15" ht="19.5" hidden="1" customHeight="1" x14ac:dyDescent="0.2">
      <c r="C110" s="13"/>
      <c r="D110" s="19">
        <f t="shared" si="1"/>
        <v>101</v>
      </c>
      <c r="E110" s="99"/>
      <c r="F110" s="103"/>
      <c r="G110" s="101"/>
      <c r="H110" s="661"/>
      <c r="I110" s="31"/>
      <c r="O110" s="52"/>
    </row>
    <row r="111" spans="3:15" ht="19.5" hidden="1" customHeight="1" x14ac:dyDescent="0.2">
      <c r="C111" s="13"/>
      <c r="D111" s="85">
        <f t="shared" si="1"/>
        <v>102</v>
      </c>
      <c r="E111" s="99"/>
      <c r="F111" s="103"/>
      <c r="G111" s="101"/>
      <c r="H111" s="661"/>
      <c r="I111" s="31"/>
      <c r="O111" s="52"/>
    </row>
    <row r="112" spans="3:15" ht="19.5" hidden="1" customHeight="1" x14ac:dyDescent="0.2">
      <c r="C112" s="13"/>
      <c r="D112" s="19">
        <f t="shared" si="1"/>
        <v>103</v>
      </c>
      <c r="E112" s="99"/>
      <c r="F112" s="103"/>
      <c r="G112" s="101"/>
      <c r="H112" s="661"/>
      <c r="I112" s="31"/>
      <c r="O112" s="52"/>
    </row>
    <row r="113" spans="3:15" ht="19.5" hidden="1" customHeight="1" x14ac:dyDescent="0.2">
      <c r="C113" s="13"/>
      <c r="D113" s="19">
        <f t="shared" si="1"/>
        <v>104</v>
      </c>
      <c r="E113" s="99"/>
      <c r="F113" s="103"/>
      <c r="G113" s="101"/>
      <c r="H113" s="661"/>
      <c r="I113" s="31"/>
      <c r="O113" s="52"/>
    </row>
    <row r="114" spans="3:15" ht="19.5" hidden="1" customHeight="1" x14ac:dyDescent="0.2">
      <c r="C114" s="13"/>
      <c r="D114" s="85">
        <f t="shared" si="1"/>
        <v>105</v>
      </c>
      <c r="E114" s="99"/>
      <c r="F114" s="103"/>
      <c r="G114" s="101"/>
      <c r="H114" s="661"/>
      <c r="I114" s="31"/>
      <c r="O114" s="52"/>
    </row>
    <row r="115" spans="3:15" ht="19.5" hidden="1" customHeight="1" x14ac:dyDescent="0.2">
      <c r="C115" s="13"/>
      <c r="D115" s="19">
        <f t="shared" si="1"/>
        <v>106</v>
      </c>
      <c r="E115" s="99"/>
      <c r="F115" s="103"/>
      <c r="G115" s="101"/>
      <c r="H115" s="661"/>
      <c r="I115" s="31"/>
      <c r="O115" s="52"/>
    </row>
    <row r="116" spans="3:15" ht="19.5" hidden="1" customHeight="1" x14ac:dyDescent="0.2">
      <c r="C116" s="13"/>
      <c r="D116" s="19">
        <f t="shared" si="1"/>
        <v>107</v>
      </c>
      <c r="E116" s="99"/>
      <c r="F116" s="103"/>
      <c r="G116" s="101"/>
      <c r="H116" s="661"/>
      <c r="I116" s="31"/>
      <c r="O116" s="52"/>
    </row>
    <row r="117" spans="3:15" ht="19.5" hidden="1" customHeight="1" x14ac:dyDescent="0.2">
      <c r="C117" s="13"/>
      <c r="D117" s="85">
        <f t="shared" si="1"/>
        <v>108</v>
      </c>
      <c r="E117" s="99"/>
      <c r="F117" s="103"/>
      <c r="G117" s="101"/>
      <c r="H117" s="661"/>
      <c r="I117" s="31"/>
      <c r="O117" s="52"/>
    </row>
    <row r="118" spans="3:15" ht="19.5" hidden="1" customHeight="1" x14ac:dyDescent="0.2">
      <c r="C118" s="13"/>
      <c r="D118" s="19">
        <f t="shared" si="1"/>
        <v>109</v>
      </c>
      <c r="E118" s="99"/>
      <c r="F118" s="103"/>
      <c r="G118" s="101"/>
      <c r="H118" s="661"/>
      <c r="I118" s="31"/>
      <c r="O118" s="52"/>
    </row>
    <row r="119" spans="3:15" ht="19.5" hidden="1" customHeight="1" x14ac:dyDescent="0.2">
      <c r="C119" s="13"/>
      <c r="D119" s="19">
        <f t="shared" si="1"/>
        <v>110</v>
      </c>
      <c r="E119" s="99"/>
      <c r="F119" s="103"/>
      <c r="G119" s="101"/>
      <c r="H119" s="661"/>
      <c r="I119" s="31"/>
      <c r="O119" s="52"/>
    </row>
    <row r="120" spans="3:15" ht="19.5" hidden="1" customHeight="1" x14ac:dyDescent="0.2">
      <c r="C120" s="13"/>
      <c r="D120" s="85">
        <f t="shared" si="1"/>
        <v>111</v>
      </c>
      <c r="E120" s="99"/>
      <c r="F120" s="103"/>
      <c r="G120" s="101"/>
      <c r="H120" s="661"/>
      <c r="I120" s="31"/>
      <c r="O120" s="52"/>
    </row>
    <row r="121" spans="3:15" ht="19.5" hidden="1" customHeight="1" x14ac:dyDescent="0.2">
      <c r="C121" s="13"/>
      <c r="D121" s="19">
        <f t="shared" si="1"/>
        <v>112</v>
      </c>
      <c r="E121" s="99"/>
      <c r="F121" s="103"/>
      <c r="G121" s="101"/>
      <c r="H121" s="661"/>
      <c r="I121" s="31"/>
      <c r="O121" s="52"/>
    </row>
    <row r="122" spans="3:15" ht="19.5" hidden="1" customHeight="1" x14ac:dyDescent="0.2">
      <c r="C122" s="13"/>
      <c r="D122" s="19">
        <f t="shared" si="1"/>
        <v>113</v>
      </c>
      <c r="E122" s="99"/>
      <c r="F122" s="103"/>
      <c r="G122" s="101"/>
      <c r="H122" s="661"/>
      <c r="I122" s="31"/>
      <c r="O122" s="52"/>
    </row>
    <row r="123" spans="3:15" ht="19.5" hidden="1" customHeight="1" x14ac:dyDescent="0.2">
      <c r="C123" s="13"/>
      <c r="D123" s="85">
        <f t="shared" si="1"/>
        <v>114</v>
      </c>
      <c r="E123" s="99"/>
      <c r="F123" s="103"/>
      <c r="G123" s="101"/>
      <c r="H123" s="661"/>
      <c r="I123" s="31"/>
      <c r="O123" s="52"/>
    </row>
    <row r="124" spans="3:15" ht="19.5" hidden="1" customHeight="1" x14ac:dyDescent="0.2">
      <c r="C124" s="13"/>
      <c r="D124" s="19">
        <f t="shared" si="1"/>
        <v>115</v>
      </c>
      <c r="E124" s="99"/>
      <c r="F124" s="103"/>
      <c r="G124" s="101"/>
      <c r="H124" s="661"/>
      <c r="I124" s="31"/>
      <c r="O124" s="52"/>
    </row>
    <row r="125" spans="3:15" ht="19.5" hidden="1" customHeight="1" x14ac:dyDescent="0.2">
      <c r="C125" s="13"/>
      <c r="D125" s="19">
        <f t="shared" si="1"/>
        <v>116</v>
      </c>
      <c r="E125" s="99"/>
      <c r="F125" s="103"/>
      <c r="G125" s="101"/>
      <c r="H125" s="661"/>
      <c r="I125" s="31"/>
      <c r="O125" s="52"/>
    </row>
    <row r="126" spans="3:15" ht="19.5" hidden="1" customHeight="1" x14ac:dyDescent="0.2">
      <c r="C126" s="13"/>
      <c r="D126" s="85">
        <f t="shared" si="1"/>
        <v>117</v>
      </c>
      <c r="E126" s="99"/>
      <c r="F126" s="103"/>
      <c r="G126" s="101"/>
      <c r="H126" s="661"/>
      <c r="I126" s="31"/>
      <c r="O126" s="52"/>
    </row>
    <row r="127" spans="3:15" ht="19.5" hidden="1" customHeight="1" x14ac:dyDescent="0.2">
      <c r="C127" s="13"/>
      <c r="D127" s="19">
        <f t="shared" si="1"/>
        <v>118</v>
      </c>
      <c r="E127" s="99"/>
      <c r="F127" s="103"/>
      <c r="G127" s="101"/>
      <c r="H127" s="661"/>
      <c r="I127" s="31"/>
      <c r="O127" s="52"/>
    </row>
    <row r="128" spans="3:15" ht="19.5" hidden="1" customHeight="1" x14ac:dyDescent="0.2">
      <c r="C128" s="13"/>
      <c r="D128" s="19">
        <f t="shared" si="1"/>
        <v>119</v>
      </c>
      <c r="E128" s="99"/>
      <c r="F128" s="103"/>
      <c r="G128" s="101"/>
      <c r="H128" s="661"/>
      <c r="I128" s="31"/>
      <c r="O128" s="52"/>
    </row>
    <row r="129" spans="3:15" ht="19.5" hidden="1" customHeight="1" x14ac:dyDescent="0.2">
      <c r="C129" s="13"/>
      <c r="D129" s="85">
        <f t="shared" si="1"/>
        <v>120</v>
      </c>
      <c r="E129" s="99"/>
      <c r="F129" s="103"/>
      <c r="G129" s="101"/>
      <c r="H129" s="661"/>
      <c r="I129" s="31"/>
      <c r="O129" s="52"/>
    </row>
    <row r="130" spans="3:15" ht="19.5" hidden="1" customHeight="1" x14ac:dyDescent="0.2">
      <c r="C130" s="13"/>
      <c r="D130" s="19">
        <f t="shared" si="1"/>
        <v>121</v>
      </c>
      <c r="E130" s="99"/>
      <c r="F130" s="103"/>
      <c r="G130" s="101"/>
      <c r="H130" s="661"/>
      <c r="I130" s="31"/>
      <c r="O130" s="52"/>
    </row>
    <row r="131" spans="3:15" ht="19.5" hidden="1" customHeight="1" x14ac:dyDescent="0.2">
      <c r="C131" s="13"/>
      <c r="D131" s="19">
        <f t="shared" si="1"/>
        <v>122</v>
      </c>
      <c r="E131" s="99"/>
      <c r="F131" s="103"/>
      <c r="G131" s="101"/>
      <c r="H131" s="661"/>
      <c r="I131" s="31"/>
      <c r="O131" s="52"/>
    </row>
    <row r="132" spans="3:15" ht="19.5" hidden="1" customHeight="1" x14ac:dyDescent="0.2">
      <c r="C132" s="13"/>
      <c r="D132" s="85">
        <f t="shared" si="1"/>
        <v>123</v>
      </c>
      <c r="E132" s="99"/>
      <c r="F132" s="103"/>
      <c r="G132" s="101"/>
      <c r="H132" s="661"/>
      <c r="I132" s="31"/>
      <c r="O132" s="52"/>
    </row>
    <row r="133" spans="3:15" ht="19.5" hidden="1" customHeight="1" x14ac:dyDescent="0.2">
      <c r="C133" s="13"/>
      <c r="D133" s="19">
        <f t="shared" si="1"/>
        <v>124</v>
      </c>
      <c r="E133" s="99"/>
      <c r="F133" s="103"/>
      <c r="G133" s="101"/>
      <c r="H133" s="661"/>
      <c r="I133" s="31"/>
      <c r="O133" s="52"/>
    </row>
    <row r="134" spans="3:15" ht="19.5" hidden="1" customHeight="1" x14ac:dyDescent="0.2">
      <c r="C134" s="13"/>
      <c r="D134" s="19">
        <f t="shared" si="1"/>
        <v>125</v>
      </c>
      <c r="E134" s="99"/>
      <c r="F134" s="103"/>
      <c r="G134" s="101"/>
      <c r="H134" s="661"/>
      <c r="I134" s="31"/>
      <c r="O134" s="52"/>
    </row>
    <row r="135" spans="3:15" ht="19.5" hidden="1" customHeight="1" x14ac:dyDescent="0.2">
      <c r="C135" s="13"/>
      <c r="D135" s="85">
        <f t="shared" si="1"/>
        <v>126</v>
      </c>
      <c r="E135" s="99"/>
      <c r="F135" s="103"/>
      <c r="G135" s="101"/>
      <c r="H135" s="661"/>
      <c r="I135" s="31"/>
      <c r="O135" s="52"/>
    </row>
    <row r="136" spans="3:15" ht="19.5" hidden="1" customHeight="1" x14ac:dyDescent="0.2">
      <c r="C136" s="13"/>
      <c r="D136" s="19">
        <f t="shared" si="1"/>
        <v>127</v>
      </c>
      <c r="E136" s="99"/>
      <c r="F136" s="103"/>
      <c r="G136" s="101"/>
      <c r="H136" s="661"/>
      <c r="I136" s="31"/>
      <c r="O136" s="52"/>
    </row>
    <row r="137" spans="3:15" ht="19.5" hidden="1" customHeight="1" x14ac:dyDescent="0.2">
      <c r="C137" s="13"/>
      <c r="D137" s="19">
        <f t="shared" si="1"/>
        <v>128</v>
      </c>
      <c r="E137" s="99"/>
      <c r="F137" s="103"/>
      <c r="G137" s="101"/>
      <c r="H137" s="661"/>
      <c r="I137" s="31"/>
      <c r="O137" s="52"/>
    </row>
    <row r="138" spans="3:15" ht="19.5" hidden="1" customHeight="1" x14ac:dyDescent="0.2">
      <c r="C138" s="13"/>
      <c r="D138" s="85">
        <f t="shared" si="1"/>
        <v>129</v>
      </c>
      <c r="E138" s="99"/>
      <c r="F138" s="103"/>
      <c r="G138" s="101"/>
      <c r="H138" s="661"/>
      <c r="I138" s="31"/>
      <c r="O138" s="52"/>
    </row>
    <row r="139" spans="3:15" ht="19.5" hidden="1" customHeight="1" x14ac:dyDescent="0.2">
      <c r="C139" s="13"/>
      <c r="D139" s="19">
        <f t="shared" si="1"/>
        <v>130</v>
      </c>
      <c r="E139" s="99"/>
      <c r="F139" s="103"/>
      <c r="G139" s="101"/>
      <c r="H139" s="661"/>
      <c r="I139" s="31"/>
      <c r="O139" s="52"/>
    </row>
    <row r="140" spans="3:15" ht="19.5" hidden="1" customHeight="1" x14ac:dyDescent="0.2">
      <c r="C140" s="13"/>
      <c r="D140" s="19">
        <f t="shared" si="1"/>
        <v>131</v>
      </c>
      <c r="E140" s="99"/>
      <c r="F140" s="103"/>
      <c r="G140" s="101"/>
      <c r="H140" s="661"/>
      <c r="I140" s="31"/>
      <c r="O140" s="52"/>
    </row>
    <row r="141" spans="3:15" ht="19.5" hidden="1" customHeight="1" x14ac:dyDescent="0.2">
      <c r="C141" s="13"/>
      <c r="D141" s="85">
        <f t="shared" si="1"/>
        <v>132</v>
      </c>
      <c r="E141" s="99"/>
      <c r="F141" s="103"/>
      <c r="G141" s="101"/>
      <c r="H141" s="661"/>
      <c r="I141" s="31"/>
      <c r="O141" s="52"/>
    </row>
    <row r="142" spans="3:15" ht="19.5" customHeight="1" x14ac:dyDescent="0.2">
      <c r="C142" s="13"/>
      <c r="D142" s="19">
        <f t="shared" si="1"/>
        <v>133</v>
      </c>
      <c r="E142" s="99"/>
      <c r="F142" s="103"/>
      <c r="G142" s="101"/>
      <c r="H142" s="661"/>
      <c r="I142" s="31"/>
      <c r="O142" s="52"/>
    </row>
    <row r="143" spans="3:15" ht="19.5" customHeight="1" x14ac:dyDescent="0.2">
      <c r="C143" s="13"/>
      <c r="D143" s="19">
        <f t="shared" ref="D143:D149" si="2">D142+1</f>
        <v>134</v>
      </c>
      <c r="E143" s="99"/>
      <c r="F143" s="103"/>
      <c r="G143" s="101"/>
      <c r="H143" s="661"/>
      <c r="I143" s="31"/>
      <c r="O143" s="52"/>
    </row>
    <row r="144" spans="3:15" ht="19.5" customHeight="1" x14ac:dyDescent="0.2">
      <c r="C144" s="13"/>
      <c r="D144" s="85">
        <f t="shared" si="2"/>
        <v>135</v>
      </c>
      <c r="E144" s="99"/>
      <c r="F144" s="103"/>
      <c r="G144" s="101"/>
      <c r="H144" s="661"/>
      <c r="I144" s="31"/>
      <c r="O144" s="52"/>
    </row>
    <row r="145" spans="3:15" ht="19.5" customHeight="1" x14ac:dyDescent="0.2">
      <c r="C145" s="13"/>
      <c r="D145" s="19">
        <f t="shared" si="2"/>
        <v>136</v>
      </c>
      <c r="E145" s="99"/>
      <c r="F145" s="103"/>
      <c r="G145" s="101"/>
      <c r="H145" s="661"/>
      <c r="I145" s="31"/>
      <c r="O145" s="52"/>
    </row>
    <row r="146" spans="3:15" ht="19.5" customHeight="1" x14ac:dyDescent="0.2">
      <c r="C146" s="13"/>
      <c r="D146" s="19">
        <f t="shared" si="2"/>
        <v>137</v>
      </c>
      <c r="E146" s="99"/>
      <c r="F146" s="103"/>
      <c r="G146" s="101"/>
      <c r="H146" s="661"/>
      <c r="I146" s="31"/>
      <c r="O146" s="52"/>
    </row>
    <row r="147" spans="3:15" ht="19.5" customHeight="1" x14ac:dyDescent="0.2">
      <c r="C147" s="13"/>
      <c r="D147" s="85">
        <f t="shared" si="2"/>
        <v>138</v>
      </c>
      <c r="E147" s="99"/>
      <c r="F147" s="103"/>
      <c r="G147" s="101"/>
      <c r="H147" s="661"/>
      <c r="I147" s="31"/>
      <c r="O147" s="52"/>
    </row>
    <row r="148" spans="3:15" ht="19.5" customHeight="1" x14ac:dyDescent="0.2">
      <c r="C148" s="13"/>
      <c r="D148" s="19">
        <f t="shared" si="2"/>
        <v>139</v>
      </c>
      <c r="E148" s="99"/>
      <c r="F148" s="103"/>
      <c r="G148" s="101"/>
      <c r="H148" s="661"/>
      <c r="I148" s="31"/>
      <c r="O148" s="52"/>
    </row>
    <row r="149" spans="3:15" ht="19.5" customHeight="1" x14ac:dyDescent="0.2">
      <c r="C149" s="13"/>
      <c r="D149" s="19">
        <f t="shared" si="2"/>
        <v>140</v>
      </c>
      <c r="E149" s="662"/>
      <c r="F149" s="663"/>
      <c r="G149" s="664"/>
      <c r="H149" s="665"/>
      <c r="I149" s="31"/>
      <c r="O149" s="52"/>
    </row>
    <row r="150" spans="3:15" ht="19.5" customHeight="1" x14ac:dyDescent="0.2">
      <c r="C150" s="13"/>
      <c r="D150" s="19"/>
      <c r="E150" s="14"/>
      <c r="F150" s="150"/>
      <c r="G150" s="286"/>
      <c r="H150" s="490">
        <f>SUM(H10:H149)</f>
        <v>42.420308186542606</v>
      </c>
      <c r="I150" s="31"/>
      <c r="O150" s="52"/>
    </row>
    <row r="151" spans="3:15" ht="19.5" customHeight="1" x14ac:dyDescent="0.2">
      <c r="C151" s="13"/>
      <c r="D151" s="19"/>
      <c r="E151" s="14"/>
      <c r="F151" s="150"/>
      <c r="G151" s="286"/>
      <c r="H151" s="14"/>
      <c r="I151" s="31"/>
      <c r="O151" s="52"/>
    </row>
    <row r="152" spans="3:15" ht="12.6" customHeight="1" thickBot="1" x14ac:dyDescent="0.25">
      <c r="C152" s="117"/>
      <c r="D152" s="234"/>
      <c r="E152" s="195"/>
      <c r="F152" s="289"/>
      <c r="G152" s="173"/>
      <c r="H152" s="173"/>
      <c r="I152" s="121"/>
      <c r="O152" s="52"/>
    </row>
    <row r="153" spans="3:15" ht="12.6" customHeight="1" x14ac:dyDescent="0.2">
      <c r="C153" s="14"/>
      <c r="D153" s="14"/>
      <c r="E153" s="287"/>
      <c r="F153" s="288"/>
      <c r="G153" s="149"/>
      <c r="H153" s="149"/>
      <c r="O153" s="52"/>
    </row>
    <row r="154" spans="3:15" x14ac:dyDescent="0.2">
      <c r="O154" s="52"/>
    </row>
    <row r="155" spans="3:15" x14ac:dyDescent="0.2">
      <c r="D155" s="88"/>
      <c r="E155" s="88"/>
      <c r="F155" s="88"/>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8" customFormat="1" x14ac:dyDescent="0.2">
      <c r="A204" s="6"/>
      <c r="B204" s="6"/>
      <c r="C204" s="6"/>
      <c r="D204" s="6"/>
    </row>
    <row r="205" spans="1:8" s="88" customFormat="1" x14ac:dyDescent="0.2">
      <c r="A205" s="6"/>
      <c r="B205" s="6"/>
      <c r="C205" s="6"/>
      <c r="D205" s="6"/>
      <c r="E205" s="79"/>
    </row>
    <row r="206" spans="1:8" s="88" customFormat="1" x14ac:dyDescent="0.2">
      <c r="A206" s="6"/>
      <c r="B206" s="6"/>
      <c r="C206" s="6"/>
      <c r="D206" s="6"/>
      <c r="E206" s="79"/>
    </row>
    <row r="207" spans="1:8" s="88" customFormat="1" x14ac:dyDescent="0.2">
      <c r="A207" s="6"/>
      <c r="B207" s="6"/>
      <c r="C207" s="6"/>
      <c r="D207" s="6"/>
      <c r="E207" s="79"/>
    </row>
    <row r="209" spans="10:13" x14ac:dyDescent="0.2">
      <c r="J209" s="279"/>
      <c r="M209" s="52"/>
    </row>
    <row r="210" spans="10:13" x14ac:dyDescent="0.2">
      <c r="J210" s="279"/>
      <c r="M210" s="52"/>
    </row>
    <row r="211" spans="10:13" x14ac:dyDescent="0.2">
      <c r="J211" s="279"/>
      <c r="M211" s="52"/>
    </row>
    <row r="212" spans="10:13" x14ac:dyDescent="0.2">
      <c r="J212" s="279"/>
      <c r="M212" s="52"/>
    </row>
    <row r="213" spans="10:13" x14ac:dyDescent="0.2">
      <c r="J213" s="279"/>
      <c r="M213" s="52"/>
    </row>
    <row r="214" spans="10:13" x14ac:dyDescent="0.2">
      <c r="J214" s="279"/>
      <c r="M214" s="52"/>
    </row>
    <row r="215" spans="10:13" x14ac:dyDescent="0.2">
      <c r="J215" s="279"/>
      <c r="M215" s="52"/>
    </row>
    <row r="216" spans="10:13" x14ac:dyDescent="0.2">
      <c r="J216" s="279"/>
      <c r="M216" s="52"/>
    </row>
    <row r="217" spans="10:13" x14ac:dyDescent="0.2">
      <c r="J217" s="279"/>
      <c r="M217" s="52"/>
    </row>
    <row r="218" spans="10:13" x14ac:dyDescent="0.2">
      <c r="J218" s="279"/>
      <c r="M218" s="52"/>
    </row>
    <row r="219" spans="10:13" x14ac:dyDescent="0.2">
      <c r="J219" s="279"/>
      <c r="M219" s="52"/>
    </row>
    <row r="220" spans="10:13" x14ac:dyDescent="0.2">
      <c r="J220" s="279"/>
      <c r="M220" s="52"/>
    </row>
    <row r="221" spans="10:13" x14ac:dyDescent="0.2">
      <c r="J221" s="279"/>
      <c r="M221" s="52"/>
    </row>
    <row r="222" spans="10:13" x14ac:dyDescent="0.2">
      <c r="J222" s="279"/>
      <c r="M222" s="52"/>
    </row>
    <row r="223" spans="10:13" x14ac:dyDescent="0.2">
      <c r="J223" s="279"/>
      <c r="M223" s="52"/>
    </row>
    <row r="224" spans="10:13" x14ac:dyDescent="0.2">
      <c r="J224" s="279"/>
      <c r="M224" s="52"/>
    </row>
    <row r="225" spans="10:13" x14ac:dyDescent="0.2">
      <c r="J225" s="279"/>
      <c r="M225" s="52"/>
    </row>
    <row r="226" spans="10:13" x14ac:dyDescent="0.2">
      <c r="J226" s="279"/>
      <c r="M226" s="52"/>
    </row>
    <row r="227" spans="10:13" x14ac:dyDescent="0.2">
      <c r="J227" s="279"/>
      <c r="M227" s="52"/>
    </row>
    <row r="228" spans="10:13" x14ac:dyDescent="0.2">
      <c r="J228" s="279"/>
      <c r="M228" s="52"/>
    </row>
    <row r="229" spans="10:13" x14ac:dyDescent="0.2">
      <c r="J229" s="279"/>
      <c r="M229" s="52"/>
    </row>
    <row r="230" spans="10:13" x14ac:dyDescent="0.2">
      <c r="J230" s="279"/>
      <c r="M230" s="52"/>
    </row>
    <row r="242" spans="5:6" x14ac:dyDescent="0.2">
      <c r="F242" s="7" t="s">
        <v>86</v>
      </c>
    </row>
    <row r="243" spans="5:6" x14ac:dyDescent="0.2">
      <c r="E243" s="79" t="s">
        <v>86</v>
      </c>
      <c r="F243" s="7" t="s">
        <v>114</v>
      </c>
    </row>
    <row r="244" spans="5:6" x14ac:dyDescent="0.2">
      <c r="E244" s="79" t="s">
        <v>84</v>
      </c>
      <c r="F244" s="7" t="s">
        <v>115</v>
      </c>
    </row>
    <row r="245" spans="5:6" x14ac:dyDescent="0.2">
      <c r="E245" s="79" t="s">
        <v>85</v>
      </c>
      <c r="F245" s="7" t="s">
        <v>99</v>
      </c>
    </row>
  </sheetData>
  <dataConsolidate/>
  <mergeCells count="1">
    <mergeCell ref="B4:E4"/>
  </mergeCells>
  <dataValidations disablePrompts="1" count="1">
    <dataValidation type="list" allowBlank="1" showInputMessage="1" showErrorMessage="1" sqref="F10:F151">
      <formula1>$F$242:$F$245</formula1>
    </dataValidation>
  </dataValidations>
  <pageMargins left="0.25" right="0.25" top="0.75" bottom="0.75" header="0.3" footer="0.3"/>
  <pageSetup paperSize="8"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Queenscliffe (B)</v>
      </c>
    </row>
    <row r="4" spans="1:9" ht="13.5" thickBot="1" x14ac:dyDescent="0.25">
      <c r="B4" s="764"/>
      <c r="C4" s="764"/>
      <c r="D4" s="764"/>
      <c r="E4" s="764"/>
    </row>
    <row r="5" spans="1:9" ht="6.75" customHeight="1" x14ac:dyDescent="0.2">
      <c r="C5" s="9"/>
      <c r="D5" s="10"/>
      <c r="E5" s="80"/>
      <c r="F5" s="53"/>
      <c r="G5" s="89"/>
      <c r="H5" s="53"/>
      <c r="I5" s="47"/>
    </row>
    <row r="6" spans="1:9" x14ac:dyDescent="0.2">
      <c r="C6" s="13"/>
      <c r="D6" s="14"/>
      <c r="E6" s="765" t="s">
        <v>71</v>
      </c>
      <c r="F6" s="766"/>
      <c r="G6" s="766"/>
      <c r="H6" s="767"/>
      <c r="I6" s="31"/>
    </row>
    <row r="7" spans="1:9" ht="6.75" customHeight="1" x14ac:dyDescent="0.2">
      <c r="C7" s="13"/>
      <c r="D7" s="14"/>
      <c r="E7" s="81"/>
      <c r="F7" s="54"/>
      <c r="G7" s="149"/>
      <c r="H7" s="54"/>
      <c r="I7" s="31"/>
    </row>
    <row r="8" spans="1:9" ht="25.5" x14ac:dyDescent="0.2">
      <c r="C8" s="13"/>
      <c r="D8" s="14"/>
      <c r="E8" s="63" t="s">
        <v>92</v>
      </c>
      <c r="F8" s="277" t="s">
        <v>113</v>
      </c>
      <c r="G8" s="87" t="s">
        <v>100</v>
      </c>
      <c r="H8" s="277" t="s">
        <v>90</v>
      </c>
      <c r="I8" s="31"/>
    </row>
    <row r="9" spans="1:9" ht="7.5" customHeight="1" x14ac:dyDescent="0.2">
      <c r="C9" s="13"/>
      <c r="D9" s="14"/>
      <c r="F9" s="55"/>
      <c r="I9" s="31"/>
    </row>
    <row r="10" spans="1:9" ht="19.5" customHeight="1" x14ac:dyDescent="0.2">
      <c r="C10" s="13"/>
      <c r="D10" s="19">
        <v>1</v>
      </c>
      <c r="E10" s="176" t="str">
        <f>IF(OR('Services - Base year'!E10="",'Services - Base year'!E10="[Enter service]"),"",'Services - Base year'!E10)</f>
        <v>Aged Services</v>
      </c>
      <c r="F10" s="177" t="str">
        <f>IF(OR('Services - Base year'!F10="",'Services - Base year'!F10="[Select]"),"",'Services - Base year'!F10)</f>
        <v>External</v>
      </c>
      <c r="G10" s="292" t="str">
        <f>IF('Services - Base year'!G10="","",'Services - Base year'!G10)</f>
        <v xml:space="preserve">The Aged Services program provides care and assistance to older residents and those requiring respite so that their homes remain their safe haven. The program is focused on maximising the wellbeing, safety and health of frail older people, people requiring respite, and their carers. Through the Commonwealth Home Support Programme, support and maintenance services are provided to people living at home, whose capacity for independent living is at risk, or who are at risk of premature or inappropriate admission to long term residential care. </v>
      </c>
      <c r="H10" s="152"/>
      <c r="I10" s="31"/>
    </row>
    <row r="11" spans="1:9" s="83" customFormat="1" ht="19.5" customHeight="1" x14ac:dyDescent="0.2">
      <c r="C11" s="84"/>
      <c r="D11" s="85">
        <f>D10+1</f>
        <v>2</v>
      </c>
      <c r="E11" s="178" t="str">
        <f>IF(OR('Services - Base year'!E11="",'Services - Base year'!E11="[Enter service]"),"",'Services - Base year'!E11)</f>
        <v>Active Communities</v>
      </c>
      <c r="F11" s="179" t="str">
        <f>IF(OR('Services - Base year'!F11="",'Services - Base year'!F11="[Select]"),"",'Services - Base year'!F11)</f>
        <v>External</v>
      </c>
      <c r="G11" s="293" t="str">
        <f>IF('Services - Base year'!G11="","",'Services - Base year'!G11)</f>
        <v>The Active Communities program promotes community wellbeing by supporting people and communities to be involved and active in sport, recreation, arts, culture and other community and civic activities. The program area is responsible for building the capacity of local clubs and community organisations and assisting these organisations to develop and implement projects that support social inclusion, access and equity within the Borough.</v>
      </c>
      <c r="H11" s="104"/>
      <c r="I11" s="86"/>
    </row>
    <row r="12" spans="1:9" ht="19.5" customHeight="1" x14ac:dyDescent="0.2">
      <c r="C12" s="13"/>
      <c r="D12" s="19">
        <f>D11+1</f>
        <v>3</v>
      </c>
      <c r="E12" s="178" t="str">
        <f>IF(OR('Services - Base year'!E12="",'Services - Base year'!E12="[Enter service]"),"",'Services - Base year'!E12)</f>
        <v>Community Events</v>
      </c>
      <c r="F12" s="179" t="str">
        <f>IF(OR('Services - Base year'!F12="",'Services - Base year'!F12="[Select]"),"",'Services - Base year'!F12)</f>
        <v>External</v>
      </c>
      <c r="G12" s="293" t="str">
        <f>IF('Services - Base year'!G12="","",'Services - Base year'!G12)</f>
        <v>The Community Events program promotes community wellbeing, celebrates the significance of the Borough and stimulates the local economy through conducting events directly or facilitating, supporting and administering a range of recreation, arts and cultural events planned and implemented by community organisations or commercial businesses. Council also plays a key role in promoting and acknowledging the significant roles played by volunteers in local organisations.</v>
      </c>
      <c r="H12" s="102"/>
      <c r="I12" s="31"/>
    </row>
    <row r="13" spans="1:9" ht="19.5" customHeight="1" x14ac:dyDescent="0.2">
      <c r="C13" s="13"/>
      <c r="D13" s="19">
        <f>D12+1</f>
        <v>4</v>
      </c>
      <c r="E13" s="178" t="str">
        <f>IF(OR('Services - Base year'!E13="",'Services - Base year'!E13="[Enter service]"),"",'Services - Base year'!E13)</f>
        <v>Maternal and Child Health (MCH)</v>
      </c>
      <c r="F13" s="179" t="str">
        <f>IF(OR('Services - Base year'!F13="",'Services - Base year'!F13="[Select]"),"",'Services - Base year'!F13)</f>
        <v>External</v>
      </c>
      <c r="G13" s="294" t="str">
        <f>IF('Services - Base year'!G13="","",'Services - Base year'!G13)</f>
        <v>The Maternal and Child Health program (MCH) plays a key role in supporting and monitoring the health and wellbeing of local families with children from birth to school age. MCH is a primary care service which provides a comprehensive and focused approach for the promotion, prevention, early detection, and intervention of the physical, emotional or social factors affecting young children and their families. Council currently contracts the City of Greater Geelong to provide the Maternal and Child Health services in the Borough.</v>
      </c>
      <c r="H13" s="102"/>
      <c r="I13" s="31"/>
    </row>
    <row r="14" spans="1:9" ht="19.5" customHeight="1" x14ac:dyDescent="0.2">
      <c r="C14" s="13"/>
      <c r="D14" s="19">
        <f>D13+1</f>
        <v>5</v>
      </c>
      <c r="E14" s="178" t="str">
        <f>IF(OR('Services - Base year'!E14="",'Services - Base year'!E14="[Enter service]"),"",'Services - Base year'!E14)</f>
        <v>Kindergarten</v>
      </c>
      <c r="F14" s="179" t="str">
        <f>IF(OR('Services - Base year'!F14="",'Services - Base year'!F14="[Select]"),"",'Services - Base year'!F14)</f>
        <v>External</v>
      </c>
      <c r="G14" s="294" t="str">
        <f>IF('Services - Base year'!G14="","",'Services - Base year'!G14)</f>
        <v>The Kindergarten program is an important part of the Borough’s early years services. Kindergarten assists in supporting the wellbeing of pre-school children and providing a safe learning environment to enable children to gain early life skills and knowledge and assist their transition to school. Whilst the Queenscliff Kindergarten is operated independently of Council by a Committee of Management, Council manages the Kindergarten building, facilitates access to external grants and supports the Kindergarten Committee of Management as needs arise.</v>
      </c>
      <c r="H14" s="102"/>
      <c r="I14" s="31"/>
    </row>
    <row r="15" spans="1:9" ht="19.5" customHeight="1" x14ac:dyDescent="0.2">
      <c r="C15" s="13"/>
      <c r="D15" s="85">
        <f t="shared" ref="D15:D78" si="0">D14+1</f>
        <v>6</v>
      </c>
      <c r="E15" s="178" t="str">
        <f>IF(OR('Services - Base year'!E15="",'Services - Base year'!E15="[Enter service]"),"",'Services - Base year'!E15)</f>
        <v>Environmental Health</v>
      </c>
      <c r="F15" s="179" t="str">
        <f>IF(OR('Services - Base year'!F15="",'Services - Base year'!F15="[Select]"),"",'Services - Base year'!F15)</f>
        <v>External</v>
      </c>
      <c r="G15" s="294" t="str">
        <f>IF('Services - Base year'!G15="","",'Services - Base year'!G15)</f>
        <v>The Environmental Health program monitors and maintains a safe environment for public health and wellbeing. This program is designed to meet Council’s statutory obligations regarding public health notably under the Food Act 1984 and Public Health and Wellbeing Act 2008. Mandatory assessments of food safety, accommodation and beauty treatment premises are completed in accordance with the regulations and risk management frameworks. Tobacco control activities reduce the prevalence of smoking in the community. Nuisance complaint investigations remedy public health and amenity concerns, infectious disease investigations control and reduce the likelihood of notifiable disease. The Environmental health program area also facilitates mosquito control activity.</v>
      </c>
      <c r="H15" s="102"/>
      <c r="I15" s="31"/>
    </row>
    <row r="16" spans="1:9" ht="19.5" customHeight="1" x14ac:dyDescent="0.2">
      <c r="C16" s="13"/>
      <c r="D16" s="19">
        <f t="shared" si="0"/>
        <v>7</v>
      </c>
      <c r="E16" s="178" t="str">
        <f>IF(OR('Services - Base year'!E16="",'Services - Base year'!E16="[Enter service]"),"",'Services - Base year'!E16)</f>
        <v>Asset Management and Appearance of Public Places</v>
      </c>
      <c r="F16" s="179" t="str">
        <f>IF(OR('Services - Base year'!F16="",'Services - Base year'!F16="[Select]"),"",'Services - Base year'!F16)</f>
        <v>External</v>
      </c>
      <c r="G16" s="294" t="str">
        <f>IF('Services - Base year'!G16="","",'Services - Base year'!G16)</f>
        <v>The Asset Management and Appearance of Public Places program ensures the safety and functionality of public places and infrastructure. This program promotes community wellbeing and encourages people to be active in public settings. The program ensures safe and efficient transport settings, including the development of a network of connected walking and cycling routes, facilitates safe access to and use of community facilities, parks and gardens, sports ovals and local amenities. Responsibilities extend to include maintenance of local roads, kerb and channel, footpaths, shared use trails, drainage and street cleanliness. Council implements an asset renewal and maintenance program for infrastructure including roads, paths, drainage and all Council-owned and managed community buildings. It is also responsible for the maintenance, cleaning and renewal of 14 public toilets.</v>
      </c>
      <c r="H16" s="102"/>
      <c r="I16" s="31"/>
    </row>
    <row r="17" spans="3:9" ht="19.5" customHeight="1" x14ac:dyDescent="0.2">
      <c r="C17" s="13"/>
      <c r="D17" s="19">
        <f t="shared" si="0"/>
        <v>8</v>
      </c>
      <c r="E17" s="178" t="str">
        <f>IF(OR('Services - Base year'!E17="",'Services - Base year'!E17="[Enter service]"),"",'Services - Base year'!E17)</f>
        <v>Local Laws, Safety and Amenity</v>
      </c>
      <c r="F17" s="179" t="str">
        <f>IF(OR('Services - Base year'!F17="",'Services - Base year'!F17="[Select]"),"",'Services - Base year'!F17)</f>
        <v>External</v>
      </c>
      <c r="G17" s="294" t="str">
        <f>IF('Services - Base year'!G17="","",'Services - Base year'!G17)</f>
        <v>The Local Laws, Safety and Amenity program promotes community wellbeing and safety in various settings and through monitoring public behaviour consistent with Council’s Local Laws. This is achieved through management of school crossings, the provision of animal management services including animal registration and a dog and cat collection service as well as enforcement of local laws, issuing of local law permits, management of the boat ramp and enforcement of parking restrictions. This service is also the first Council respondent to out-of-hours emergencies.</v>
      </c>
      <c r="H17" s="102"/>
      <c r="I17" s="31"/>
    </row>
    <row r="18" spans="3:9" ht="19.5" customHeight="1" x14ac:dyDescent="0.2">
      <c r="C18" s="13"/>
      <c r="D18" s="19">
        <f t="shared" si="0"/>
        <v>9</v>
      </c>
      <c r="E18" s="178" t="str">
        <f>IF(OR('Services - Base year'!E18="",'Services - Base year'!E18="[Enter service]"),"",'Services - Base year'!E18)</f>
        <v>Street Lighting</v>
      </c>
      <c r="F18" s="179" t="str">
        <f>IF(OR('Services - Base year'!F18="",'Services - Base year'!F18="[Select]"),"",'Services - Base year'!F18)</f>
        <v>External</v>
      </c>
      <c r="G18" s="294" t="str">
        <f>IF('Services - Base year'!G18="","",'Services - Base year'!G18)</f>
        <v>The Street Lighting program assists in the provision of a safe environment for motorists, pedestrians and cyclists. It involves the operation, maintenance, renewal and energy costs associated with the Borough's street lights.</v>
      </c>
      <c r="H18" s="102"/>
      <c r="I18" s="31"/>
    </row>
    <row r="19" spans="3:9" ht="19.5" customHeight="1" x14ac:dyDescent="0.2">
      <c r="C19" s="13"/>
      <c r="D19" s="85">
        <f t="shared" si="0"/>
        <v>10</v>
      </c>
      <c r="E19" s="178" t="str">
        <f>IF(OR('Services - Base year'!E19="",'Services - Base year'!E19="[Enter service]"),"",'Services - Base year'!E19)</f>
        <v>Powerline Safety</v>
      </c>
      <c r="F19" s="179" t="str">
        <f>IF(OR('Services - Base year'!F19="",'Services - Base year'!F19="[Select]"),"",'Services - Base year'!F19)</f>
        <v>External</v>
      </c>
      <c r="G19" s="294" t="str">
        <f>IF('Services - Base year'!G19="","",'Services - Base year'!G19)</f>
        <v>The Powerline Safety program assists in the provision of a safe environment and protection of the Borough’s significant vegetation from fire by maintaining clear zones around powerlines to standards as set by legislation.</v>
      </c>
      <c r="H19" s="102"/>
      <c r="I19" s="31"/>
    </row>
    <row r="20" spans="3:9" ht="19.5" customHeight="1" x14ac:dyDescent="0.2">
      <c r="C20" s="13"/>
      <c r="D20" s="19">
        <f t="shared" si="0"/>
        <v>11</v>
      </c>
      <c r="E20" s="178" t="str">
        <f>IF(OR('Services - Base year'!E20="",'Services - Base year'!E20="[Enter service]"),"",'Services - Base year'!E20)</f>
        <v>Library</v>
      </c>
      <c r="F20" s="179" t="str">
        <f>IF(OR('Services - Base year'!F20="",'Services - Base year'!F20="[Select]"),"",'Services - Base year'!F20)</f>
        <v>External</v>
      </c>
      <c r="G20" s="294" t="str">
        <f>IF('Services - Base year'!G20="","",'Services - Base year'!G20)</f>
        <v>The Library program promotes community wellbeing by encouraging active participation and life-long learning opportunities in a safe, inclusive setting. Libraries can be restorative places and often a safe haven for people outside their own home. The public library service is provided in Queenscliff in a Council-owned building, and is operated by the Geelong Regional Library Corporation under a financial deed of agreement with Council. Council is one of four municipalities that make up the membership of the Corporation.</v>
      </c>
      <c r="H20" s="102"/>
      <c r="I20" s="31"/>
    </row>
    <row r="21" spans="3:9" ht="19.5" customHeight="1" x14ac:dyDescent="0.2">
      <c r="C21" s="13"/>
      <c r="D21" s="19">
        <f t="shared" si="0"/>
        <v>12</v>
      </c>
      <c r="E21" s="178" t="str">
        <f>IF(OR('Services - Base year'!E21="",'Services - Base year'!E21="[Enter service]"),"",'Services - Base year'!E21)</f>
        <v>Recreation, Arts and Culture</v>
      </c>
      <c r="F21" s="179" t="str">
        <f>IF(OR('Services - Base year'!F21="",'Services - Base year'!F21="[Select]"),"",'Services - Base year'!F21)</f>
        <v>External</v>
      </c>
      <c r="G21" s="294" t="str">
        <f>IF('Services - Base year'!G21="","",'Services - Base year'!G21)</f>
        <v>The Recreation, Arts and Culture program promotes community wellbeing by supporting people and communities to be involved, healthy and active. Council plays a key role in managing or leasing community facilities to local organisations, assisting clubs with facility improvements and accessing external funding, and via various club development support programs. The program provides or supports an ongoing program of arts, cultural and reconciliation activities and events, helping to build local capacity, celebrate the rich culture, and enhance the Borough as a special and restorative place.</v>
      </c>
      <c r="H21" s="102"/>
      <c r="I21" s="31"/>
    </row>
    <row r="22" spans="3:9" ht="19.5" customHeight="1" x14ac:dyDescent="0.2">
      <c r="C22" s="13"/>
      <c r="D22" s="85">
        <f t="shared" si="0"/>
        <v>13</v>
      </c>
      <c r="E22" s="178" t="str">
        <f>IF(OR('Services - Base year'!E22="",'Services - Base year'!E22="[Enter service]"),"",'Services - Base year'!E22)</f>
        <v>Environmental Sustainability</v>
      </c>
      <c r="F22" s="179" t="str">
        <f>IF(OR('Services - Base year'!F22="",'Services - Base year'!F22="[Select]"),"",'Services - Base year'!F22)</f>
        <v>Mixed</v>
      </c>
      <c r="G22" s="294" t="str">
        <f>IF('Services - Base year'!G22="","",'Services - Base year'!G22)</f>
        <v>The Environmental Sustainability program sees the Borough playing its part in protecting the natural environment for future generations. This includes Council measuring, monitoring and reducing its carbon emissions as well as assisting the local community to implement various initiatives designed to reduce greenhouse gases through the Community Environment Alliance. Council plays a key role in responding to the challenges of climate change and sea level rise and where possible working with various Federal, State, regional and local organisations to inform and educate the community about practices that support environmental sustainability.</v>
      </c>
      <c r="H22" s="102"/>
      <c r="I22" s="31"/>
    </row>
    <row r="23" spans="3:9" ht="19.5" customHeight="1" x14ac:dyDescent="0.2">
      <c r="C23" s="13"/>
      <c r="D23" s="19">
        <f t="shared" si="0"/>
        <v>14</v>
      </c>
      <c r="E23" s="178" t="str">
        <f>IF(OR('Services - Base year'!E23="",'Services - Base year'!E23="[Enter service]"),"",'Services - Base year'!E23)</f>
        <v>Coastal Protection</v>
      </c>
      <c r="F23" s="179" t="str">
        <f>IF(OR('Services - Base year'!F23="",'Services - Base year'!F23="[Select]"),"",'Services - Base year'!F23)</f>
        <v>External</v>
      </c>
      <c r="G23" s="294" t="str">
        <f>IF('Services - Base year'!G23="","",'Services - Base year'!G23)</f>
        <v>The Coastal Protection program seeks to preserve and enhance the Borough’s globally significant, highly-valued coast as an iconic environmental asset for current and future generations. Under this program, Council implements State Government coastal management policy, manages environmental projects and works with State, regional and local services to enhance its management of coastal Crown Land. The program involves weed reduction initiatives and planting of trees and other plants.</v>
      </c>
      <c r="H23" s="102"/>
      <c r="I23" s="31"/>
    </row>
    <row r="24" spans="3:9" ht="19.5" customHeight="1" x14ac:dyDescent="0.2">
      <c r="C24" s="13"/>
      <c r="D24" s="19">
        <f t="shared" si="0"/>
        <v>15</v>
      </c>
      <c r="E24" s="178" t="str">
        <f>IF(OR('Services - Base year'!E24="",'Services - Base year'!E24="[Enter service]"),"",'Services - Base year'!E24)</f>
        <v>Waste Management and Recycling</v>
      </c>
      <c r="F24" s="179" t="str">
        <f>IF(OR('Services - Base year'!F24="",'Services - Base year'!F24="[Select]"),"",'Services - Base year'!F24)</f>
        <v>External</v>
      </c>
      <c r="G24" s="294" t="str">
        <f>IF('Services - Base year'!G24="","",'Services - Base year'!G24)</f>
        <v>The Waste Management and Recycling program seeks to promote local action in order to protect the environment for future generations. Council works with local and regional organisations, including the Barwon South West Waste and Resource Recovery Group and neighbouring councils to increase community awareness and promote behaviours that reduce waste and promote recycling. In addition to regular kerbside waste collection and a hard rubbish collection, the program includes a recycling service, e-waste and a green waste bin service for all residential and tourist accommodation properties. A range of public waste services are also provided given the comparatively high level of tourist visitation. Note full cost recovery of waste management, including recycling, is achieved via application of waste charges to ratepayers in accordance with Council’s Rating Strategy.</v>
      </c>
      <c r="H24" s="102"/>
      <c r="I24" s="31"/>
    </row>
    <row r="25" spans="3:9" ht="19.5" customHeight="1" x14ac:dyDescent="0.2">
      <c r="C25" s="13"/>
      <c r="D25" s="19">
        <f t="shared" si="0"/>
        <v>16</v>
      </c>
      <c r="E25" s="178" t="str">
        <f>IF(OR('Services - Base year'!E25="",'Services - Base year'!E25="[Enter service]"),"",'Services - Base year'!E25)</f>
        <v>Tourist Parks and Boat Ramp Services</v>
      </c>
      <c r="F25" s="179" t="str">
        <f>IF(OR('Services - Base year'!F25="",'Services - Base year'!F25="[Select]"),"",'Services - Base year'!F25)</f>
        <v>External</v>
      </c>
      <c r="G25" s="294" t="str">
        <f>IF('Services - Base year'!G25="","",'Services - Base year'!G25)</f>
        <v>The Tourist Parks and Boat Ramp Services program ensures the Borough remains a special place for visitors while increasing tourism’s contribution to the local economy. The program includes management of three tourist parks and one boat ramp. It currently provides approximately 400 camping/caravanning sites and associated facilities, including maintenance of seven amenities blocks, and management of the Queenscliff boat ramp which provides access to the fishing in Port Phillip Bay. While contributing significantly to the local economy, this program generates a net income result, which is used to fund improvements to and maintenance of community facilities, foreshore infrastructure and coastal protection activities on Crown land.</v>
      </c>
      <c r="H25" s="102"/>
      <c r="I25" s="31"/>
    </row>
    <row r="26" spans="3:9" ht="19.5" customHeight="1" x14ac:dyDescent="0.2">
      <c r="C26" s="13"/>
      <c r="D26" s="85">
        <f t="shared" si="0"/>
        <v>17</v>
      </c>
      <c r="E26" s="178" t="str">
        <f>IF(OR('Services - Base year'!E26="",'Services - Base year'!E26="[Enter service]"),"",'Services - Base year'!E26)</f>
        <v>Visitor Information Centre (VIC)</v>
      </c>
      <c r="F26" s="179" t="str">
        <f>IF(OR('Services - Base year'!F26="",'Services - Base year'!F26="[Select]"),"",'Services - Base year'!F26)</f>
        <v>External</v>
      </c>
      <c r="G26" s="294" t="str">
        <f>IF('Services - Base year'!G26="","",'Services - Base year'!G26)</f>
        <v>The Visitor Information Centre program promotes the Borough as a special place for visitors, and supports local tourism and related businesses with dissemination of information to build a diverse and vibrant local economy. This program manages a State accredited tourist information service year round, with paid staff and volunteers offering information and advice about the visitor experiences on offer across the Borough and through other parts of Victoria.</v>
      </c>
      <c r="H26" s="102"/>
      <c r="I26" s="31"/>
    </row>
    <row r="27" spans="3:9" ht="19.5" customHeight="1" x14ac:dyDescent="0.2">
      <c r="C27" s="13"/>
      <c r="D27" s="19">
        <f t="shared" si="0"/>
        <v>18</v>
      </c>
      <c r="E27" s="178" t="str">
        <f>IF(OR('Services - Base year'!E27="",'Services - Base year'!E27="[Enter service]"),"",'Services - Base year'!E27)</f>
        <v>Tourism and Economic Development</v>
      </c>
      <c r="F27" s="179" t="str">
        <f>IF(OR('Services - Base year'!F27="",'Services - Base year'!F27="[Select]"),"",'Services - Base year'!F27)</f>
        <v>Mixed</v>
      </c>
      <c r="G27" s="294" t="str">
        <f>IF('Services - Base year'!G27="","",'Services - Base year'!G27)</f>
        <v>The Tourism and Economic Development program seeks to build on the Borough’s unique heritage, rich culture and significant natural environment to strengthen the diversity and vibrancy of the local economy. The program is integrated with the activities of state, regional and local tourism organisations. Marketing and promoting the Borough and its attractions is key to increasing the number of day trippers and overnight visitors. The program’s focus on broader economic development includes supporting local businesses through access to information and professional development and working with neighbouring municipalities, G21 and the State Government to implement regional economic infrastructure priorities.</v>
      </c>
      <c r="H27" s="102"/>
      <c r="I27" s="31"/>
    </row>
    <row r="28" spans="3:9" ht="19.5" customHeight="1" x14ac:dyDescent="0.2">
      <c r="C28" s="13"/>
      <c r="D28" s="19">
        <f t="shared" si="0"/>
        <v>19</v>
      </c>
      <c r="E28" s="178" t="str">
        <f>IF(OR('Services - Base year'!E28="",'Services - Base year'!E28="[Enter service]"),"",'Services - Base year'!E28)</f>
        <v>Design and Project Management</v>
      </c>
      <c r="F28" s="179" t="str">
        <f>IF(OR('Services - Base year'!F28="",'Services - Base year'!F28="[Select]"),"",'Services - Base year'!F28)</f>
        <v>Mixed</v>
      </c>
      <c r="G28" s="294" t="str">
        <f>IF('Services - Base year'!G28="","",'Services - Base year'!G28)</f>
        <v>The Design and Project Management program seeks to achieve excellence of design and delivery of projects which enhance the Borough as a special place. Specifically, the program manages design, tendering, contract management and supervision of Council’s annual capital works program. It also manages issues associated with private development activities such as building over easements, legal point of discharge, vehicle point of access and unit development infrastructure.</v>
      </c>
      <c r="H28" s="102"/>
      <c r="I28" s="31"/>
    </row>
    <row r="29" spans="3:9" ht="19.5" customHeight="1" x14ac:dyDescent="0.2">
      <c r="C29" s="13"/>
      <c r="D29" s="19">
        <f t="shared" si="0"/>
        <v>20</v>
      </c>
      <c r="E29" s="178" t="str">
        <f>IF(OR('Services - Base year'!E29="",'Services - Base year'!E29="[Enter service]"),"",'Services - Base year'!E29)</f>
        <v>Land Use Planning</v>
      </c>
      <c r="F29" s="179" t="str">
        <f>IF(OR('Services - Base year'!F29="",'Services - Base year'!F29="[Select]"),"",'Services - Base year'!F29)</f>
        <v>External</v>
      </c>
      <c r="G29" s="294" t="str">
        <f>IF('Services - Base year'!G29="","",'Services - Base year'!G29)</f>
        <v>The Land Use Planning program ensures that the Borough conserves its unique heritage, that the built environment is enhanced by design excellence, and that local amenity is protected against inappropriate land use and development. The program monitors Council’s Planning Scheme and prepares major policy documents including the Municipal Strategic Statement. It maintains and processes amendments to the Queenscliffe Planning Scheme and carries out research on demographic, economic and social issues affecting Council. The program administers Council’s statutory planning responsibilities, including the various processes associated with the assessment of planning permit applications and defence of Council decisions at the Victorian Civil and Administrative Tribunal.</v>
      </c>
      <c r="H29" s="102"/>
      <c r="I29" s="31"/>
    </row>
    <row r="30" spans="3:9" ht="19.5" customHeight="1" x14ac:dyDescent="0.2">
      <c r="C30" s="13"/>
      <c r="D30" s="85">
        <f t="shared" si="0"/>
        <v>21</v>
      </c>
      <c r="E30" s="178" t="str">
        <f>IF(OR('Services - Base year'!E30="",'Services - Base year'!E30="[Enter service]"),"",'Services - Base year'!E30)</f>
        <v>Heritage Conservation Advice</v>
      </c>
      <c r="F30" s="179" t="str">
        <f>IF(OR('Services - Base year'!F30="",'Services - Base year'!F30="[Select]"),"",'Services - Base year'!F30)</f>
        <v>External</v>
      </c>
      <c r="G30" s="294" t="str">
        <f>IF('Services - Base year'!G30="","",'Services - Base year'!G30)</f>
        <v>The Heritage Conservation Advice program aims to retain the unique heritage and rich culture captured in the Borough’s built form. It adds value to the Land Use Planning program by providing an external heritage expert via contract to advise development applicants on how to respect and achieve compliance with heritage objectives, and to inform Council’s assessment of planning permit applications in relation to heritage conservation.</v>
      </c>
      <c r="H30" s="102"/>
      <c r="I30" s="31"/>
    </row>
    <row r="31" spans="3:9" ht="19.5" customHeight="1" x14ac:dyDescent="0.2">
      <c r="C31" s="13"/>
      <c r="D31" s="19">
        <f t="shared" si="0"/>
        <v>22</v>
      </c>
      <c r="E31" s="178" t="str">
        <f>IF(OR('Services - Base year'!E31="",'Services - Base year'!E31="[Enter service]"),"",'Services - Base year'!E31)</f>
        <v>Building Control</v>
      </c>
      <c r="F31" s="179" t="str">
        <f>IF(OR('Services - Base year'!F31="",'Services - Base year'!F31="[Select]"),"",'Services - Base year'!F31)</f>
        <v>External</v>
      </c>
      <c r="G31" s="294" t="str">
        <f>IF('Services - Base year'!G31="","",'Services - Base year'!G31)</f>
        <v>The Building Control program ensures that building construction and maintenance is such that the community remains safe. It provides statutory building services including processing of siting variation consent, emergency management responsibilities, building inspections, building safety audits, and investigation of complaints and illegal works.</v>
      </c>
      <c r="H31" s="102"/>
      <c r="I31" s="31"/>
    </row>
    <row r="32" spans="3:9" ht="19.5" customHeight="1" x14ac:dyDescent="0.2">
      <c r="C32" s="13"/>
      <c r="D32" s="19">
        <f t="shared" si="0"/>
        <v>23</v>
      </c>
      <c r="E32" s="178" t="str">
        <f>IF(OR('Services - Base year'!E32="",'Services - Base year'!E32="[Enter service]"),"",'Services - Base year'!E32)</f>
        <v>Council Governance</v>
      </c>
      <c r="F32" s="179" t="str">
        <f>IF(OR('Services - Base year'!F32="",'Services - Base year'!F32="[Select]"),"",'Services - Base year'!F32)</f>
        <v>Mixed</v>
      </c>
      <c r="G32" s="294" t="str">
        <f>IF('Services - Base year'!G32="","",'Services - Base year'!G32)</f>
        <v>The Council Governance program supports the Mayor and Councillors to maintain a cohesive Council and a well-governed Borough. The program supports Council’s compliance with the Councillor Code of Conduct and its key relationships and memberships with organisations such as the MAV and G21. Council’s participation in the annual Local Government Community Satisfaction Survey and meeting all legislative requirements associated with the Local Government Act 1989 and any other applicable Act occur as part of this program.</v>
      </c>
      <c r="H32" s="102"/>
      <c r="I32" s="31"/>
    </row>
    <row r="33" spans="3:9" ht="19.5" customHeight="1" x14ac:dyDescent="0.2">
      <c r="C33" s="13"/>
      <c r="D33" s="85">
        <f t="shared" si="0"/>
        <v>24</v>
      </c>
      <c r="E33" s="178" t="str">
        <f>IF(OR('Services - Base year'!E33="",'Services - Base year'!E33="[Enter service]"),"",'Services - Base year'!E33)</f>
        <v>Organisation Performance and Compliance</v>
      </c>
      <c r="F33" s="179" t="str">
        <f>IF(OR('Services - Base year'!F33="",'Services - Base year'!F33="[Select]"),"",'Services - Base year'!F33)</f>
        <v>Internal</v>
      </c>
      <c r="G33" s="294" t="str">
        <f>IF('Services - Base year'!G33="","",'Services - Base year'!G33)</f>
        <v>The Organisational Performance and Compliance program supports the Chief Executive Officer and Executive Management Team to maintain a cohesive, well-managed and highly performing organisation. This includes supporting organisation development and statutory compliance, and seeking to ensure that the behaviour of all staff complies with the Staff Code of Conduct. Key outputs of the program are the preparation and/or review of the Council Plan, Strategic Resource Plan and long term budget, Annual Implementation Plan, and Council’s Annual Budget.</v>
      </c>
      <c r="H33" s="102"/>
      <c r="I33" s="31"/>
    </row>
    <row r="34" spans="3:9" ht="19.5" customHeight="1" x14ac:dyDescent="0.2">
      <c r="C34" s="13"/>
      <c r="D34" s="19">
        <f t="shared" si="0"/>
        <v>25</v>
      </c>
      <c r="E34" s="178" t="str">
        <f>IF(OR('Services - Base year'!E34="",'Services - Base year'!E34="[Enter service]"),"",'Services - Base year'!E34)</f>
        <v>Community Engagement and Customer Service</v>
      </c>
      <c r="F34" s="179" t="str">
        <f>IF(OR('Services - Base year'!F34="",'Services - Base year'!F34="[Select]"),"",'Services - Base year'!F34)</f>
        <v>Mixed</v>
      </c>
      <c r="G34" s="294" t="str">
        <f>IF('Services - Base year'!G34="","",'Services - Base year'!G34)</f>
        <v>The Community Engagement and Customer Service program aims to facilitate community involvement in decision-making, and to deliver high quality customer service. It includes practical and strategic advice regarding Council’s internal and external communications and issues management, and supports first point of contact to customers at the Council office. The program provides records management services in accordance with Council policy and procedures, administers the requirements of the privacy and freedom of information legislation, coordinates Council and Committee meetings, and provides other administrative support services.</v>
      </c>
      <c r="H34" s="102"/>
      <c r="I34" s="31"/>
    </row>
    <row r="35" spans="3:9" ht="19.5" customHeight="1" x14ac:dyDescent="0.2">
      <c r="C35" s="13"/>
      <c r="D35" s="19">
        <f t="shared" si="0"/>
        <v>26</v>
      </c>
      <c r="E35" s="178" t="str">
        <f>IF(OR('Services - Base year'!E35="",'Services - Base year'!E35="[Enter service]"),"",'Services - Base year'!E35)</f>
        <v>Financial and Risk Management</v>
      </c>
      <c r="F35" s="179" t="str">
        <f>IF(OR('Services - Base year'!F35="",'Services - Base year'!F35="[Select]"),"",'Services - Base year'!F35)</f>
        <v>Internal</v>
      </c>
      <c r="G35" s="294" t="str">
        <f>IF('Services - Base year'!G35="","",'Services - Base year'!G35)</f>
        <v>The Financial and Risk Management program seeks to ensure the ongoing independence and financial sustainability of the Borough. Council ensures sound financial management, and cohesiveness and performance of the organisation’s operations, through the maintenance of appropriate systems. The service provides long term financial planning, robust internal risk management, adherence to guidelines on prudent management of debt, cash and asset renewal, and reviews its assets to improve the return on Council’s investments. The service predominantly includes management of Council’s finances, the raising and collection of revenue, payment of salaries and wages to Council employees, procurement and contracting of services, management and maintenance of robust computer systems, fleet management, insurance and risk management systems. The program also includes the biennial revaluation of properties for rating purposes, processing of supplementary rates and the administration of the State Government’s Fire Services Property Levy. Depreciation expense for all Council assets is included in this program area.</v>
      </c>
      <c r="H35" s="102"/>
      <c r="I35" s="31"/>
    </row>
    <row r="36" spans="3:9" ht="19.5" customHeight="1" x14ac:dyDescent="0.2">
      <c r="C36" s="13"/>
      <c r="D36" s="19">
        <f t="shared" si="0"/>
        <v>27</v>
      </c>
      <c r="E36" s="178" t="str">
        <f>IF(OR('Services - Base year'!E36="",'Services - Base year'!E36="[Enter service]"),"",'Services - Base year'!E36)</f>
        <v/>
      </c>
      <c r="F36" s="179" t="str">
        <f>IF(OR('Services - Base year'!F36="",'Services - Base year'!F36="[Select]"),"",'Services - Base year'!F36)</f>
        <v/>
      </c>
      <c r="G36" s="294" t="str">
        <f>IF('Services - Base year'!G36="","",'Services - Base year'!G36)</f>
        <v/>
      </c>
      <c r="H36" s="102"/>
      <c r="I36" s="31"/>
    </row>
    <row r="37" spans="3:9" ht="19.5" customHeight="1" x14ac:dyDescent="0.2">
      <c r="C37" s="13"/>
      <c r="D37" s="85">
        <f t="shared" si="0"/>
        <v>28</v>
      </c>
      <c r="E37" s="178" t="str">
        <f>IF(OR('Services - Base year'!E37="",'Services - Base year'!E37="[Enter service]"),"",'Services - Base year'!E37)</f>
        <v>Capital Works Program</v>
      </c>
      <c r="F37" s="179" t="str">
        <f>IF(OR('Services - Base year'!F37="",'Services - Base year'!F37="[Select]"),"",'Services - Base year'!F37)</f>
        <v>External</v>
      </c>
      <c r="G37" s="294" t="str">
        <f>IF('Services - Base year'!G37="","",'Services - Base year'!G37)</f>
        <v>Capitalised Labour Costs</v>
      </c>
      <c r="H37" s="102"/>
      <c r="I37" s="31"/>
    </row>
    <row r="38" spans="3:9" ht="19.5" customHeight="1" x14ac:dyDescent="0.2">
      <c r="C38" s="13"/>
      <c r="D38" s="19">
        <f t="shared" si="0"/>
        <v>29</v>
      </c>
      <c r="E38" s="178" t="str">
        <f>IF(OR('Services - Base year'!E38="",'Services - Base year'!E38="[Enter service]"),"",'Services - Base year'!E38)</f>
        <v/>
      </c>
      <c r="F38" s="179" t="str">
        <f>IF(OR('Services - Base year'!F38="",'Services - Base year'!F38="[Select]"),"",'Services - Base year'!F38)</f>
        <v/>
      </c>
      <c r="G38" s="294" t="str">
        <f>IF('Services - Base year'!G38="","",'Services - Base year'!G38)</f>
        <v/>
      </c>
      <c r="H38" s="102"/>
      <c r="I38" s="31"/>
    </row>
    <row r="39" spans="3:9" ht="19.5" customHeight="1" x14ac:dyDescent="0.2">
      <c r="C39" s="13"/>
      <c r="D39" s="19">
        <f t="shared" si="0"/>
        <v>30</v>
      </c>
      <c r="E39" s="178" t="str">
        <f>IF(OR('Services - Base year'!E39="",'Services - Base year'!E39="[Enter service]"),"",'Services - Base year'!E39)</f>
        <v/>
      </c>
      <c r="F39" s="179" t="str">
        <f>IF(OR('Services - Base year'!F39="",'Services - Base year'!F39="[Select]"),"",'Services - Base year'!F39)</f>
        <v/>
      </c>
      <c r="G39" s="294" t="str">
        <f>IF('Services - Base year'!G39="","",'Services - Base year'!G39)</f>
        <v/>
      </c>
      <c r="H39" s="102"/>
      <c r="I39" s="31"/>
    </row>
    <row r="40" spans="3:9" ht="19.5" customHeight="1" x14ac:dyDescent="0.2">
      <c r="C40" s="13"/>
      <c r="D40" s="19">
        <f t="shared" si="0"/>
        <v>31</v>
      </c>
      <c r="E40" s="178" t="str">
        <f>IF(OR('Services - Base year'!E40="",'Services - Base year'!E40="[Enter service]"),"",'Services - Base year'!E40)</f>
        <v/>
      </c>
      <c r="F40" s="179" t="str">
        <f>IF(OR('Services - Base year'!F40="",'Services - Base year'!F40="[Select]"),"",'Services - Base year'!F40)</f>
        <v/>
      </c>
      <c r="G40" s="294" t="str">
        <f>IF('Services - Base year'!G40="","",'Services - Base year'!G40)</f>
        <v/>
      </c>
      <c r="H40" s="102"/>
      <c r="I40" s="31"/>
    </row>
    <row r="41" spans="3:9" ht="19.5" customHeight="1" x14ac:dyDescent="0.2">
      <c r="C41" s="13"/>
      <c r="D41" s="85">
        <f t="shared" si="0"/>
        <v>32</v>
      </c>
      <c r="E41" s="178" t="str">
        <f>IF(OR('Services - Base year'!E41="",'Services - Base year'!E41="[Enter service]"),"",'Services - Base year'!E41)</f>
        <v/>
      </c>
      <c r="F41" s="179" t="str">
        <f>IF(OR('Services - Base year'!F41="",'Services - Base year'!F41="[Select]"),"",'Services - Base year'!F41)</f>
        <v/>
      </c>
      <c r="G41" s="294" t="str">
        <f>IF('Services - Base year'!G41="","",'Services - Base year'!G41)</f>
        <v/>
      </c>
      <c r="H41" s="102"/>
      <c r="I41" s="31"/>
    </row>
    <row r="42" spans="3:9" ht="19.5" customHeight="1" x14ac:dyDescent="0.2">
      <c r="C42" s="13"/>
      <c r="D42" s="19">
        <f t="shared" si="0"/>
        <v>33</v>
      </c>
      <c r="E42" s="178" t="str">
        <f>IF(OR('Services - Base year'!E42="",'Services - Base year'!E42="[Enter service]"),"",'Services - Base year'!E42)</f>
        <v/>
      </c>
      <c r="F42" s="179" t="str">
        <f>IF(OR('Services - Base year'!F42="",'Services - Base year'!F42="[Select]"),"",'Services - Base year'!F42)</f>
        <v/>
      </c>
      <c r="G42" s="294" t="str">
        <f>IF('Services - Base year'!G42="","",'Services - Base year'!G42)</f>
        <v/>
      </c>
      <c r="H42" s="102"/>
      <c r="I42" s="31"/>
    </row>
    <row r="43" spans="3:9" ht="19.5" customHeight="1" x14ac:dyDescent="0.2">
      <c r="C43" s="13"/>
      <c r="D43" s="19">
        <f t="shared" si="0"/>
        <v>34</v>
      </c>
      <c r="E43" s="178" t="str">
        <f>IF(OR('Services - Base year'!E43="",'Services - Base year'!E43="[Enter service]"),"",'Services - Base year'!E43)</f>
        <v/>
      </c>
      <c r="F43" s="179" t="str">
        <f>IF(OR('Services - Base year'!F43="",'Services - Base year'!F43="[Select]"),"",'Services - Base year'!F43)</f>
        <v/>
      </c>
      <c r="G43" s="294" t="str">
        <f>IF('Services - Base year'!G43="","",'Services - Base year'!G43)</f>
        <v/>
      </c>
      <c r="H43" s="102"/>
      <c r="I43" s="31"/>
    </row>
    <row r="44" spans="3:9" ht="19.5" customHeight="1" x14ac:dyDescent="0.2">
      <c r="C44" s="13"/>
      <c r="D44" s="85">
        <f t="shared" si="0"/>
        <v>35</v>
      </c>
      <c r="E44" s="178" t="str">
        <f>IF(OR('Services - Base year'!E44="",'Services - Base year'!E44="[Enter service]"),"",'Services - Base year'!E44)</f>
        <v/>
      </c>
      <c r="F44" s="179" t="str">
        <f>IF(OR('Services - Base year'!F44="",'Services - Base year'!F44="[Select]"),"",'Services - Base year'!F44)</f>
        <v/>
      </c>
      <c r="G44" s="294" t="str">
        <f>IF('Services - Base year'!G44="","",'Services - Base year'!G44)</f>
        <v/>
      </c>
      <c r="H44" s="102"/>
      <c r="I44" s="31"/>
    </row>
    <row r="45" spans="3:9" ht="19.5" customHeight="1" x14ac:dyDescent="0.2">
      <c r="C45" s="13"/>
      <c r="D45" s="19">
        <f t="shared" si="0"/>
        <v>36</v>
      </c>
      <c r="E45" s="178" t="str">
        <f>IF(OR('Services - Base year'!E45="",'Services - Base year'!E45="[Enter service]"),"",'Services - Base year'!E45)</f>
        <v/>
      </c>
      <c r="F45" s="179" t="str">
        <f>IF(OR('Services - Base year'!F45="",'Services - Base year'!F45="[Select]"),"",'Services - Base year'!F45)</f>
        <v/>
      </c>
      <c r="G45" s="294" t="str">
        <f>IF('Services - Base year'!G45="","",'Services - Base year'!G45)</f>
        <v/>
      </c>
      <c r="H45" s="102"/>
      <c r="I45" s="31"/>
    </row>
    <row r="46" spans="3:9" ht="19.5" customHeight="1" x14ac:dyDescent="0.2">
      <c r="C46" s="13"/>
      <c r="D46" s="19">
        <f t="shared" si="0"/>
        <v>37</v>
      </c>
      <c r="E46" s="178" t="str">
        <f>IF(OR('Services - Base year'!E46="",'Services - Base year'!E46="[Enter service]"),"",'Services - Base year'!E46)</f>
        <v/>
      </c>
      <c r="F46" s="179" t="str">
        <f>IF(OR('Services - Base year'!F46="",'Services - Base year'!F46="[Select]"),"",'Services - Base year'!F46)</f>
        <v/>
      </c>
      <c r="G46" s="294" t="str">
        <f>IF('Services - Base year'!G46="","",'Services - Base year'!G46)</f>
        <v/>
      </c>
      <c r="H46" s="102"/>
      <c r="I46" s="31"/>
    </row>
    <row r="47" spans="3:9" ht="19.5" customHeight="1" x14ac:dyDescent="0.2">
      <c r="C47" s="13"/>
      <c r="D47" s="19">
        <f t="shared" si="0"/>
        <v>38</v>
      </c>
      <c r="E47" s="178" t="str">
        <f>IF(OR('Services - Base year'!E47="",'Services - Base year'!E47="[Enter service]"),"",'Services - Base year'!E47)</f>
        <v/>
      </c>
      <c r="F47" s="179" t="str">
        <f>IF(OR('Services - Base year'!F47="",'Services - Base year'!F47="[Select]"),"",'Services - Base year'!F47)</f>
        <v/>
      </c>
      <c r="G47" s="294" t="str">
        <f>IF('Services - Base year'!G47="","",'Services - Base year'!G47)</f>
        <v/>
      </c>
      <c r="H47" s="102"/>
      <c r="I47" s="31"/>
    </row>
    <row r="48" spans="3:9" ht="19.5" customHeight="1" x14ac:dyDescent="0.2">
      <c r="C48" s="13"/>
      <c r="D48" s="85">
        <f t="shared" si="0"/>
        <v>39</v>
      </c>
      <c r="E48" s="178" t="str">
        <f>IF(OR('Services - Base year'!E48="",'Services - Base year'!E48="[Enter service]"),"",'Services - Base year'!E48)</f>
        <v/>
      </c>
      <c r="F48" s="179" t="str">
        <f>IF(OR('Services - Base year'!F48="",'Services - Base year'!F48="[Select]"),"",'Services - Base year'!F48)</f>
        <v/>
      </c>
      <c r="G48" s="294" t="str">
        <f>IF('Services - Base year'!G48="","",'Services - Base year'!G48)</f>
        <v/>
      </c>
      <c r="H48" s="102"/>
      <c r="I48" s="31"/>
    </row>
    <row r="49" spans="3:9" ht="19.5" customHeight="1" x14ac:dyDescent="0.2">
      <c r="C49" s="13"/>
      <c r="D49" s="19">
        <f t="shared" si="0"/>
        <v>40</v>
      </c>
      <c r="E49" s="178" t="str">
        <f>IF(OR('Services - Base year'!E49="",'Services - Base year'!E49="[Enter service]"),"",'Services - Base year'!E49)</f>
        <v/>
      </c>
      <c r="F49" s="179" t="str">
        <f>IF(OR('Services - Base year'!F49="",'Services - Base year'!F49="[Select]"),"",'Services - Base year'!F49)</f>
        <v/>
      </c>
      <c r="G49" s="294" t="str">
        <f>IF('Services - Base year'!G49="","",'Services - Base year'!G49)</f>
        <v/>
      </c>
      <c r="H49" s="102"/>
      <c r="I49" s="31"/>
    </row>
    <row r="50" spans="3:9" ht="19.5" customHeight="1" x14ac:dyDescent="0.2">
      <c r="C50" s="13"/>
      <c r="D50" s="19">
        <f t="shared" si="0"/>
        <v>41</v>
      </c>
      <c r="E50" s="178" t="str">
        <f>IF(OR('Services - Base year'!E50="",'Services - Base year'!E50="[Enter service]"),"",'Services - Base year'!E50)</f>
        <v/>
      </c>
      <c r="F50" s="179" t="str">
        <f>IF(OR('Services - Base year'!F50="",'Services - Base year'!F50="[Select]"),"",'Services - Base year'!F50)</f>
        <v/>
      </c>
      <c r="G50" s="294" t="str">
        <f>IF('Services - Base year'!G50="","",'Services - Base year'!G50)</f>
        <v/>
      </c>
      <c r="H50" s="102"/>
      <c r="I50" s="31"/>
    </row>
    <row r="51" spans="3:9" ht="19.5" customHeight="1" x14ac:dyDescent="0.2">
      <c r="C51" s="13"/>
      <c r="D51" s="19">
        <f t="shared" si="0"/>
        <v>42</v>
      </c>
      <c r="E51" s="178" t="str">
        <f>IF(OR('Services - Base year'!E51="",'Services - Base year'!E51="[Enter service]"),"",'Services - Base year'!E51)</f>
        <v/>
      </c>
      <c r="F51" s="179" t="str">
        <f>IF(OR('Services - Base year'!F51="",'Services - Base year'!F51="[Select]"),"",'Services - Base year'!F51)</f>
        <v/>
      </c>
      <c r="G51" s="294" t="str">
        <f>IF('Services - Base year'!G51="","",'Services - Base year'!G51)</f>
        <v/>
      </c>
      <c r="H51" s="102"/>
      <c r="I51" s="31"/>
    </row>
    <row r="52" spans="3:9" ht="19.5" customHeight="1" x14ac:dyDescent="0.2">
      <c r="C52" s="13"/>
      <c r="D52" s="85">
        <f t="shared" si="0"/>
        <v>43</v>
      </c>
      <c r="E52" s="178" t="str">
        <f>IF(OR('Services - Base year'!E52="",'Services - Base year'!E52="[Enter service]"),"",'Services - Base year'!E52)</f>
        <v/>
      </c>
      <c r="F52" s="179" t="str">
        <f>IF(OR('Services - Base year'!F52="",'Services - Base year'!F52="[Select]"),"",'Services - Base year'!F52)</f>
        <v/>
      </c>
      <c r="G52" s="294" t="str">
        <f>IF('Services - Base year'!G52="","",'Services - Base year'!G52)</f>
        <v/>
      </c>
      <c r="H52" s="102"/>
      <c r="I52" s="31"/>
    </row>
    <row r="53" spans="3:9" ht="19.5" customHeight="1" x14ac:dyDescent="0.2">
      <c r="C53" s="13"/>
      <c r="D53" s="19">
        <f t="shared" si="0"/>
        <v>44</v>
      </c>
      <c r="E53" s="178" t="str">
        <f>IF(OR('Services - Base year'!E53="",'Services - Base year'!E53="[Enter service]"),"",'Services - Base year'!E53)</f>
        <v/>
      </c>
      <c r="F53" s="179" t="str">
        <f>IF(OR('Services - Base year'!F53="",'Services - Base year'!F53="[Select]"),"",'Services - Base year'!F53)</f>
        <v/>
      </c>
      <c r="G53" s="294" t="str">
        <f>IF('Services - Base year'!G53="","",'Services - Base year'!G53)</f>
        <v/>
      </c>
      <c r="H53" s="102"/>
      <c r="I53" s="31"/>
    </row>
    <row r="54" spans="3:9" ht="19.5" customHeight="1" x14ac:dyDescent="0.2">
      <c r="C54" s="13"/>
      <c r="D54" s="19">
        <f t="shared" si="0"/>
        <v>45</v>
      </c>
      <c r="E54" s="178" t="str">
        <f>IF(OR('Services - Base year'!E54="",'Services - Base year'!E54="[Enter service]"),"",'Services - Base year'!E54)</f>
        <v/>
      </c>
      <c r="F54" s="179" t="str">
        <f>IF(OR('Services - Base year'!F54="",'Services - Base year'!F54="[Select]"),"",'Services - Base year'!F54)</f>
        <v/>
      </c>
      <c r="G54" s="294" t="str">
        <f>IF('Services - Base year'!G54="","",'Services - Base year'!G54)</f>
        <v/>
      </c>
      <c r="H54" s="102"/>
      <c r="I54" s="31"/>
    </row>
    <row r="55" spans="3:9" ht="19.5" customHeight="1" x14ac:dyDescent="0.2">
      <c r="C55" s="13"/>
      <c r="D55" s="85">
        <f t="shared" si="0"/>
        <v>46</v>
      </c>
      <c r="E55" s="178" t="str">
        <f>IF(OR('Services - Base year'!E55="",'Services - Base year'!E55="[Enter service]"),"",'Services - Base year'!E55)</f>
        <v/>
      </c>
      <c r="F55" s="179" t="str">
        <f>IF(OR('Services - Base year'!F55="",'Services - Base year'!F55="[Select]"),"",'Services - Base year'!F55)</f>
        <v/>
      </c>
      <c r="G55" s="294" t="str">
        <f>IF('Services - Base year'!G55="","",'Services - Base year'!G55)</f>
        <v/>
      </c>
      <c r="H55" s="102"/>
      <c r="I55" s="31"/>
    </row>
    <row r="56" spans="3:9" ht="19.5" customHeight="1" x14ac:dyDescent="0.2">
      <c r="C56" s="13"/>
      <c r="D56" s="19">
        <f t="shared" si="0"/>
        <v>47</v>
      </c>
      <c r="E56" s="178" t="str">
        <f>IF(OR('Services - Base year'!E56="",'Services - Base year'!E56="[Enter service]"),"",'Services - Base year'!E56)</f>
        <v/>
      </c>
      <c r="F56" s="179" t="str">
        <f>IF(OR('Services - Base year'!F56="",'Services - Base year'!F56="[Select]"),"",'Services - Base year'!F56)</f>
        <v/>
      </c>
      <c r="G56" s="294" t="str">
        <f>IF('Services - Base year'!G56="","",'Services - Base year'!G56)</f>
        <v/>
      </c>
      <c r="H56" s="102"/>
      <c r="I56" s="31"/>
    </row>
    <row r="57" spans="3:9" ht="19.5" customHeight="1" x14ac:dyDescent="0.2">
      <c r="C57" s="13"/>
      <c r="D57" s="19">
        <f t="shared" si="0"/>
        <v>48</v>
      </c>
      <c r="E57" s="178" t="str">
        <f>IF(OR('Services - Base year'!E57="",'Services - Base year'!E57="[Enter service]"),"",'Services - Base year'!E57)</f>
        <v/>
      </c>
      <c r="F57" s="179" t="str">
        <f>IF(OR('Services - Base year'!F57="",'Services - Base year'!F57="[Select]"),"",'Services - Base year'!F57)</f>
        <v/>
      </c>
      <c r="G57" s="294" t="str">
        <f>IF('Services - Base year'!G57="","",'Services - Base year'!G57)</f>
        <v/>
      </c>
      <c r="H57" s="102"/>
      <c r="I57" s="31"/>
    </row>
    <row r="58" spans="3:9" ht="19.5" customHeight="1" x14ac:dyDescent="0.2">
      <c r="C58" s="13"/>
      <c r="D58" s="19">
        <f t="shared" si="0"/>
        <v>49</v>
      </c>
      <c r="E58" s="178" t="str">
        <f>IF(OR('Services - Base year'!E58="",'Services - Base year'!E58="[Enter service]"),"",'Services - Base year'!E58)</f>
        <v/>
      </c>
      <c r="F58" s="179" t="str">
        <f>IF(OR('Services - Base year'!F58="",'Services - Base year'!F58="[Select]"),"",'Services - Base year'!F58)</f>
        <v/>
      </c>
      <c r="G58" s="294" t="str">
        <f>IF('Services - Base year'!G58="","",'Services - Base year'!G58)</f>
        <v/>
      </c>
      <c r="H58" s="102"/>
      <c r="I58" s="31"/>
    </row>
    <row r="59" spans="3:9" ht="19.5" customHeight="1" x14ac:dyDescent="0.2">
      <c r="C59" s="13"/>
      <c r="D59" s="85">
        <f t="shared" si="0"/>
        <v>50</v>
      </c>
      <c r="E59" s="178" t="str">
        <f>IF(OR('Services - Base year'!E59="",'Services - Base year'!E59="[Enter service]"),"",'Services - Base year'!E59)</f>
        <v/>
      </c>
      <c r="F59" s="179" t="str">
        <f>IF(OR('Services - Base year'!F59="",'Services - Base year'!F59="[Select]"),"",'Services - Base year'!F59)</f>
        <v/>
      </c>
      <c r="G59" s="294" t="str">
        <f>IF('Services - Base year'!G59="","",'Services - Base year'!G59)</f>
        <v/>
      </c>
      <c r="H59" s="102"/>
      <c r="I59" s="31"/>
    </row>
    <row r="60" spans="3:9" ht="19.5" customHeight="1" x14ac:dyDescent="0.2">
      <c r="C60" s="13"/>
      <c r="D60" s="19">
        <f t="shared" si="0"/>
        <v>51</v>
      </c>
      <c r="E60" s="178" t="str">
        <f>IF(OR('Services - Base year'!E60="",'Services - Base year'!E60="[Enter service]"),"",'Services - Base year'!E60)</f>
        <v/>
      </c>
      <c r="F60" s="179" t="str">
        <f>IF(OR('Services - Base year'!F60="",'Services - Base year'!F60="[Select]"),"",'Services - Base year'!F60)</f>
        <v/>
      </c>
      <c r="G60" s="294" t="str">
        <f>IF('Services - Base year'!G60="","",'Services - Base year'!G60)</f>
        <v/>
      </c>
      <c r="H60" s="102"/>
      <c r="I60" s="31"/>
    </row>
    <row r="61" spans="3:9" ht="19.5" customHeight="1" x14ac:dyDescent="0.2">
      <c r="C61" s="13"/>
      <c r="D61" s="19">
        <f t="shared" si="0"/>
        <v>52</v>
      </c>
      <c r="E61" s="178" t="str">
        <f>IF(OR('Services - Base year'!E61="",'Services - Base year'!E61="[Enter service]"),"",'Services - Base year'!E61)</f>
        <v/>
      </c>
      <c r="F61" s="179" t="str">
        <f>IF(OR('Services - Base year'!F61="",'Services - Base year'!F61="[Select]"),"",'Services - Base year'!F61)</f>
        <v/>
      </c>
      <c r="G61" s="294" t="str">
        <f>IF('Services - Base year'!G61="","",'Services - Base year'!G61)</f>
        <v/>
      </c>
      <c r="H61" s="102"/>
      <c r="I61" s="31"/>
    </row>
    <row r="62" spans="3:9" ht="19.5" customHeight="1" x14ac:dyDescent="0.2">
      <c r="C62" s="13"/>
      <c r="D62" s="19">
        <f t="shared" si="0"/>
        <v>53</v>
      </c>
      <c r="E62" s="178" t="str">
        <f>IF(OR('Services - Base year'!E62="",'Services - Base year'!E62="[Enter service]"),"",'Services - Base year'!E62)</f>
        <v/>
      </c>
      <c r="F62" s="179" t="str">
        <f>IF(OR('Services - Base year'!F62="",'Services - Base year'!F62="[Select]"),"",'Services - Base year'!F62)</f>
        <v/>
      </c>
      <c r="G62" s="294" t="str">
        <f>IF('Services - Base year'!G62="","",'Services - Base year'!G62)</f>
        <v/>
      </c>
      <c r="H62" s="102"/>
      <c r="I62" s="31"/>
    </row>
    <row r="63" spans="3:9" ht="19.5" customHeight="1" x14ac:dyDescent="0.2">
      <c r="C63" s="13"/>
      <c r="D63" s="85">
        <f t="shared" si="0"/>
        <v>54</v>
      </c>
      <c r="E63" s="178" t="str">
        <f>IF(OR('Services - Base year'!E63="",'Services - Base year'!E63="[Enter service]"),"",'Services - Base year'!E63)</f>
        <v/>
      </c>
      <c r="F63" s="179" t="str">
        <f>IF(OR('Services - Base year'!F63="",'Services - Base year'!F63="[Select]"),"",'Services - Base year'!F63)</f>
        <v/>
      </c>
      <c r="G63" s="294" t="str">
        <f>IF('Services - Base year'!G63="","",'Services - Base year'!G63)</f>
        <v/>
      </c>
      <c r="H63" s="102"/>
      <c r="I63" s="31"/>
    </row>
    <row r="64" spans="3:9" ht="19.5" customHeight="1" x14ac:dyDescent="0.2">
      <c r="C64" s="13"/>
      <c r="D64" s="19">
        <f t="shared" si="0"/>
        <v>55</v>
      </c>
      <c r="E64" s="178" t="str">
        <f>IF(OR('Services - Base year'!E64="",'Services - Base year'!E64="[Enter service]"),"",'Services - Base year'!E64)</f>
        <v/>
      </c>
      <c r="F64" s="179" t="str">
        <f>IF(OR('Services - Base year'!F64="",'Services - Base year'!F64="[Select]"),"",'Services - Base year'!F64)</f>
        <v/>
      </c>
      <c r="G64" s="294" t="str">
        <f>IF('Services - Base year'!G64="","",'Services - Base year'!G64)</f>
        <v/>
      </c>
      <c r="H64" s="102"/>
      <c r="I64" s="31"/>
    </row>
    <row r="65" spans="3:9" ht="19.5" customHeight="1" x14ac:dyDescent="0.2">
      <c r="C65" s="13"/>
      <c r="D65" s="19">
        <f t="shared" si="0"/>
        <v>56</v>
      </c>
      <c r="E65" s="178" t="str">
        <f>IF(OR('Services - Base year'!E65="",'Services - Base year'!E65="[Enter service]"),"",'Services - Base year'!E65)</f>
        <v/>
      </c>
      <c r="F65" s="179" t="str">
        <f>IF(OR('Services - Base year'!F65="",'Services - Base year'!F65="[Select]"),"",'Services - Base year'!F65)</f>
        <v/>
      </c>
      <c r="G65" s="294" t="str">
        <f>IF('Services - Base year'!G65="","",'Services - Base year'!G65)</f>
        <v/>
      </c>
      <c r="H65" s="102"/>
      <c r="I65" s="31"/>
    </row>
    <row r="66" spans="3:9" ht="19.5" customHeight="1" x14ac:dyDescent="0.2">
      <c r="C66" s="13"/>
      <c r="D66" s="85">
        <f t="shared" si="0"/>
        <v>57</v>
      </c>
      <c r="E66" s="178" t="str">
        <f>IF(OR('Services - Base year'!E66="",'Services - Base year'!E66="[Enter service]"),"",'Services - Base year'!E66)</f>
        <v/>
      </c>
      <c r="F66" s="179" t="str">
        <f>IF(OR('Services - Base year'!F66="",'Services - Base year'!F66="[Select]"),"",'Services - Base year'!F66)</f>
        <v/>
      </c>
      <c r="G66" s="294" t="str">
        <f>IF('Services - Base year'!G66="","",'Services - Base year'!G66)</f>
        <v/>
      </c>
      <c r="H66" s="102"/>
      <c r="I66" s="31"/>
    </row>
    <row r="67" spans="3:9" ht="19.5" customHeight="1" x14ac:dyDescent="0.2">
      <c r="C67" s="13"/>
      <c r="D67" s="19">
        <f t="shared" si="0"/>
        <v>58</v>
      </c>
      <c r="E67" s="178" t="str">
        <f>IF(OR('Services - Base year'!E67="",'Services - Base year'!E67="[Enter service]"),"",'Services - Base year'!E67)</f>
        <v/>
      </c>
      <c r="F67" s="179" t="str">
        <f>IF(OR('Services - Base year'!F67="",'Services - Base year'!F67="[Select]"),"",'Services - Base year'!F67)</f>
        <v/>
      </c>
      <c r="G67" s="294" t="str">
        <f>IF('Services - Base year'!G67="","",'Services - Base year'!G67)</f>
        <v/>
      </c>
      <c r="H67" s="102"/>
      <c r="I67" s="31"/>
    </row>
    <row r="68" spans="3:9" ht="19.5" customHeight="1" x14ac:dyDescent="0.2">
      <c r="C68" s="13"/>
      <c r="D68" s="19">
        <f t="shared" si="0"/>
        <v>59</v>
      </c>
      <c r="E68" s="178" t="str">
        <f>IF(OR('Services - Base year'!E68="",'Services - Base year'!E68="[Enter service]"),"",'Services - Base year'!E68)</f>
        <v/>
      </c>
      <c r="F68" s="179" t="str">
        <f>IF(OR('Services - Base year'!F68="",'Services - Base year'!F68="[Select]"),"",'Services - Base year'!F68)</f>
        <v/>
      </c>
      <c r="G68" s="294" t="str">
        <f>IF('Services - Base year'!G68="","",'Services - Base year'!G68)</f>
        <v/>
      </c>
      <c r="H68" s="102"/>
      <c r="I68" s="31"/>
    </row>
    <row r="69" spans="3:9" ht="19.5" customHeight="1" x14ac:dyDescent="0.2">
      <c r="C69" s="13"/>
      <c r="D69" s="85">
        <f t="shared" si="0"/>
        <v>60</v>
      </c>
      <c r="E69" s="178" t="str">
        <f>IF(OR('Services - Base year'!E69="",'Services - Base year'!E69="[Enter service]"),"",'Services - Base year'!E69)</f>
        <v/>
      </c>
      <c r="F69" s="179" t="str">
        <f>IF(OR('Services - Base year'!F69="",'Services - Base year'!F69="[Select]"),"",'Services - Base year'!F69)</f>
        <v/>
      </c>
      <c r="G69" s="294" t="str">
        <f>IF('Services - Base year'!G69="","",'Services - Base year'!G69)</f>
        <v/>
      </c>
      <c r="H69" s="102"/>
      <c r="I69" s="31"/>
    </row>
    <row r="70" spans="3:9" ht="19.5" customHeight="1" x14ac:dyDescent="0.2">
      <c r="C70" s="13"/>
      <c r="D70" s="19">
        <f t="shared" si="0"/>
        <v>61</v>
      </c>
      <c r="E70" s="178" t="str">
        <f>IF(OR('Services - Base year'!E70="",'Services - Base year'!E70="[Enter service]"),"",'Services - Base year'!E70)</f>
        <v/>
      </c>
      <c r="F70" s="179" t="str">
        <f>IF(OR('Services - Base year'!F70="",'Services - Base year'!F70="[Select]"),"",'Services - Base year'!F70)</f>
        <v/>
      </c>
      <c r="G70" s="294" t="str">
        <f>IF('Services - Base year'!G70="","",'Services - Base year'!G70)</f>
        <v/>
      </c>
      <c r="H70" s="102"/>
      <c r="I70" s="31"/>
    </row>
    <row r="71" spans="3:9" ht="19.5" customHeight="1" x14ac:dyDescent="0.2">
      <c r="C71" s="13"/>
      <c r="D71" s="19">
        <f t="shared" si="0"/>
        <v>62</v>
      </c>
      <c r="E71" s="178" t="str">
        <f>IF(OR('Services - Base year'!E71="",'Services - Base year'!E71="[Enter service]"),"",'Services - Base year'!E71)</f>
        <v/>
      </c>
      <c r="F71" s="179" t="str">
        <f>IF(OR('Services - Base year'!F71="",'Services - Base year'!F71="[Select]"),"",'Services - Base year'!F71)</f>
        <v/>
      </c>
      <c r="G71" s="294" t="str">
        <f>IF('Services - Base year'!G71="","",'Services - Base year'!G71)</f>
        <v/>
      </c>
      <c r="H71" s="102"/>
      <c r="I71" s="31"/>
    </row>
    <row r="72" spans="3:9" ht="19.5" customHeight="1" x14ac:dyDescent="0.2">
      <c r="C72" s="13"/>
      <c r="D72" s="85">
        <f t="shared" si="0"/>
        <v>63</v>
      </c>
      <c r="E72" s="178" t="str">
        <f>IF(OR('Services - Base year'!E72="",'Services - Base year'!E72="[Enter service]"),"",'Services - Base year'!E72)</f>
        <v/>
      </c>
      <c r="F72" s="179" t="str">
        <f>IF(OR('Services - Base year'!F72="",'Services - Base year'!F72="[Select]"),"",'Services - Base year'!F72)</f>
        <v/>
      </c>
      <c r="G72" s="294" t="str">
        <f>IF('Services - Base year'!G72="","",'Services - Base year'!G72)</f>
        <v/>
      </c>
      <c r="H72" s="102"/>
      <c r="I72" s="31"/>
    </row>
    <row r="73" spans="3:9" ht="19.5" customHeight="1" x14ac:dyDescent="0.2">
      <c r="C73" s="13"/>
      <c r="D73" s="19">
        <f t="shared" si="0"/>
        <v>64</v>
      </c>
      <c r="E73" s="178" t="str">
        <f>IF(OR('Services - Base year'!E73="",'Services - Base year'!E73="[Enter service]"),"",'Services - Base year'!E73)</f>
        <v/>
      </c>
      <c r="F73" s="179" t="str">
        <f>IF(OR('Services - Base year'!F73="",'Services - Base year'!F73="[Select]"),"",'Services - Base year'!F73)</f>
        <v/>
      </c>
      <c r="G73" s="294" t="str">
        <f>IF('Services - Base year'!G73="","",'Services - Base year'!G73)</f>
        <v/>
      </c>
      <c r="H73" s="102"/>
      <c r="I73" s="31"/>
    </row>
    <row r="74" spans="3:9" ht="19.5" customHeight="1" x14ac:dyDescent="0.2">
      <c r="C74" s="13"/>
      <c r="D74" s="19">
        <f t="shared" si="0"/>
        <v>65</v>
      </c>
      <c r="E74" s="178" t="str">
        <f>IF(OR('Services - Base year'!E74="",'Services - Base year'!E74="[Enter service]"),"",'Services - Base year'!E74)</f>
        <v/>
      </c>
      <c r="F74" s="179" t="str">
        <f>IF(OR('Services - Base year'!F74="",'Services - Base year'!F74="[Select]"),"",'Services - Base year'!F74)</f>
        <v/>
      </c>
      <c r="G74" s="294" t="str">
        <f>IF('Services - Base year'!G74="","",'Services - Base year'!G74)</f>
        <v/>
      </c>
      <c r="H74" s="102"/>
      <c r="I74" s="31"/>
    </row>
    <row r="75" spans="3:9" ht="19.5" customHeight="1" x14ac:dyDescent="0.2">
      <c r="C75" s="13"/>
      <c r="D75" s="85">
        <f t="shared" si="0"/>
        <v>66</v>
      </c>
      <c r="E75" s="178" t="str">
        <f>IF(OR('Services - Base year'!E75="",'Services - Base year'!E75="[Enter service]"),"",'Services - Base year'!E75)</f>
        <v/>
      </c>
      <c r="F75" s="179" t="str">
        <f>IF(OR('Services - Base year'!F75="",'Services - Base year'!F75="[Select]"),"",'Services - Base year'!F75)</f>
        <v/>
      </c>
      <c r="G75" s="294" t="str">
        <f>IF('Services - Base year'!G75="","",'Services - Base year'!G75)</f>
        <v/>
      </c>
      <c r="H75" s="102"/>
      <c r="I75" s="31"/>
    </row>
    <row r="76" spans="3:9" ht="19.5" customHeight="1" x14ac:dyDescent="0.2">
      <c r="C76" s="13"/>
      <c r="D76" s="19">
        <f t="shared" si="0"/>
        <v>67</v>
      </c>
      <c r="E76" s="178" t="str">
        <f>IF(OR('Services - Base year'!E76="",'Services - Base year'!E76="[Enter service]"),"",'Services - Base year'!E76)</f>
        <v/>
      </c>
      <c r="F76" s="179" t="str">
        <f>IF(OR('Services - Base year'!F76="",'Services - Base year'!F76="[Select]"),"",'Services - Base year'!F76)</f>
        <v/>
      </c>
      <c r="G76" s="294" t="str">
        <f>IF('Services - Base year'!G76="","",'Services - Base year'!G76)</f>
        <v/>
      </c>
      <c r="H76" s="102"/>
      <c r="I76" s="31"/>
    </row>
    <row r="77" spans="3:9" ht="19.5" customHeight="1" x14ac:dyDescent="0.2">
      <c r="C77" s="13"/>
      <c r="D77" s="19">
        <f t="shared" si="0"/>
        <v>68</v>
      </c>
      <c r="E77" s="178" t="str">
        <f>IF(OR('Services - Base year'!E77="",'Services - Base year'!E77="[Enter service]"),"",'Services - Base year'!E77)</f>
        <v/>
      </c>
      <c r="F77" s="179" t="str">
        <f>IF(OR('Services - Base year'!F77="",'Services - Base year'!F77="[Select]"),"",'Services - Base year'!F77)</f>
        <v/>
      </c>
      <c r="G77" s="294" t="str">
        <f>IF('Services - Base year'!G77="","",'Services - Base year'!G77)</f>
        <v/>
      </c>
      <c r="H77" s="102"/>
      <c r="I77" s="31"/>
    </row>
    <row r="78" spans="3:9" ht="19.5" customHeight="1" x14ac:dyDescent="0.2">
      <c r="C78" s="13"/>
      <c r="D78" s="85">
        <f t="shared" si="0"/>
        <v>69</v>
      </c>
      <c r="E78" s="178" t="str">
        <f>IF(OR('Services - Base year'!E78="",'Services - Base year'!E78="[Enter service]"),"",'Services - Base year'!E78)</f>
        <v/>
      </c>
      <c r="F78" s="179" t="str">
        <f>IF(OR('Services - Base year'!F78="",'Services - Base year'!F78="[Select]"),"",'Services - Base year'!F78)</f>
        <v/>
      </c>
      <c r="G78" s="294" t="str">
        <f>IF('Services - Base year'!G78="","",'Services - Base year'!G78)</f>
        <v/>
      </c>
      <c r="H78" s="102"/>
      <c r="I78" s="31"/>
    </row>
    <row r="79" spans="3:9" ht="19.5" customHeight="1" x14ac:dyDescent="0.2">
      <c r="C79" s="13"/>
      <c r="D79" s="19">
        <f t="shared" ref="D79:D142" si="1">D78+1</f>
        <v>70</v>
      </c>
      <c r="E79" s="178" t="str">
        <f>IF(OR('Services - Base year'!E79="",'Services - Base year'!E79="[Enter service]"),"",'Services - Base year'!E79)</f>
        <v/>
      </c>
      <c r="F79" s="179" t="str">
        <f>IF(OR('Services - Base year'!F79="",'Services - Base year'!F79="[Select]"),"",'Services - Base year'!F79)</f>
        <v/>
      </c>
      <c r="G79" s="294" t="str">
        <f>IF('Services - Base year'!G79="","",'Services - Base year'!G79)</f>
        <v/>
      </c>
      <c r="H79" s="102"/>
      <c r="I79" s="31"/>
    </row>
    <row r="80" spans="3:9" ht="19.5" customHeight="1" x14ac:dyDescent="0.2">
      <c r="C80" s="13"/>
      <c r="D80" s="19">
        <f t="shared" si="1"/>
        <v>71</v>
      </c>
      <c r="E80" s="178" t="str">
        <f>IF(OR('Services - Base year'!E80="",'Services - Base year'!E80="[Enter service]"),"",'Services - Base year'!E80)</f>
        <v/>
      </c>
      <c r="F80" s="179" t="str">
        <f>IF(OR('Services - Base year'!F80="",'Services - Base year'!F80="[Select]"),"",'Services - Base year'!F80)</f>
        <v/>
      </c>
      <c r="G80" s="294" t="str">
        <f>IF('Services - Base year'!G80="","",'Services - Base year'!G80)</f>
        <v/>
      </c>
      <c r="H80" s="102"/>
      <c r="I80" s="31"/>
    </row>
    <row r="81" spans="3:9" ht="19.5" customHeight="1" x14ac:dyDescent="0.2">
      <c r="C81" s="13"/>
      <c r="D81" s="85">
        <f t="shared" si="1"/>
        <v>72</v>
      </c>
      <c r="E81" s="178" t="str">
        <f>IF(OR('Services - Base year'!E81="",'Services - Base year'!E81="[Enter service]"),"",'Services - Base year'!E81)</f>
        <v/>
      </c>
      <c r="F81" s="179" t="str">
        <f>IF(OR('Services - Base year'!F81="",'Services - Base year'!F81="[Select]"),"",'Services - Base year'!F81)</f>
        <v/>
      </c>
      <c r="G81" s="294" t="str">
        <f>IF('Services - Base year'!G81="","",'Services - Base year'!G81)</f>
        <v/>
      </c>
      <c r="H81" s="102"/>
      <c r="I81" s="31"/>
    </row>
    <row r="82" spans="3:9" ht="19.5" customHeight="1" x14ac:dyDescent="0.2">
      <c r="C82" s="13"/>
      <c r="D82" s="19">
        <f t="shared" si="1"/>
        <v>73</v>
      </c>
      <c r="E82" s="178" t="str">
        <f>IF(OR('Services - Base year'!E82="",'Services - Base year'!E82="[Enter service]"),"",'Services - Base year'!E82)</f>
        <v/>
      </c>
      <c r="F82" s="179" t="str">
        <f>IF(OR('Services - Base year'!F82="",'Services - Base year'!F82="[Select]"),"",'Services - Base year'!F82)</f>
        <v/>
      </c>
      <c r="G82" s="294" t="str">
        <f>IF('Services - Base year'!G82="","",'Services - Base year'!G82)</f>
        <v/>
      </c>
      <c r="H82" s="102"/>
      <c r="I82" s="31"/>
    </row>
    <row r="83" spans="3:9" ht="19.5" customHeight="1" x14ac:dyDescent="0.2">
      <c r="C83" s="13"/>
      <c r="D83" s="19">
        <f t="shared" si="1"/>
        <v>74</v>
      </c>
      <c r="E83" s="178" t="str">
        <f>IF(OR('Services - Base year'!E83="",'Services - Base year'!E83="[Enter service]"),"",'Services - Base year'!E83)</f>
        <v/>
      </c>
      <c r="F83" s="179" t="str">
        <f>IF(OR('Services - Base year'!F83="",'Services - Base year'!F83="[Select]"),"",'Services - Base year'!F83)</f>
        <v/>
      </c>
      <c r="G83" s="294" t="str">
        <f>IF('Services - Base year'!G83="","",'Services - Base year'!G83)</f>
        <v/>
      </c>
      <c r="H83" s="102"/>
      <c r="I83" s="31"/>
    </row>
    <row r="84" spans="3:9" ht="19.5" customHeight="1" x14ac:dyDescent="0.2">
      <c r="C84" s="13"/>
      <c r="D84" s="85">
        <f t="shared" si="1"/>
        <v>75</v>
      </c>
      <c r="E84" s="178" t="str">
        <f>IF(OR('Services - Base year'!E84="",'Services - Base year'!E84="[Enter service]"),"",'Services - Base year'!E84)</f>
        <v/>
      </c>
      <c r="F84" s="179" t="str">
        <f>IF(OR('Services - Base year'!F84="",'Services - Base year'!F84="[Select]"),"",'Services - Base year'!F84)</f>
        <v/>
      </c>
      <c r="G84" s="294" t="str">
        <f>IF('Services - Base year'!G84="","",'Services - Base year'!G84)</f>
        <v/>
      </c>
      <c r="H84" s="102"/>
      <c r="I84" s="31"/>
    </row>
    <row r="85" spans="3:9" ht="19.5" customHeight="1" x14ac:dyDescent="0.2">
      <c r="C85" s="13"/>
      <c r="D85" s="19">
        <f t="shared" si="1"/>
        <v>76</v>
      </c>
      <c r="E85" s="178" t="str">
        <f>IF(OR('Services - Base year'!E85="",'Services - Base year'!E85="[Enter service]"),"",'Services - Base year'!E85)</f>
        <v/>
      </c>
      <c r="F85" s="179" t="str">
        <f>IF(OR('Services - Base year'!F85="",'Services - Base year'!F85="[Select]"),"",'Services - Base year'!F85)</f>
        <v/>
      </c>
      <c r="G85" s="294" t="str">
        <f>IF('Services - Base year'!G85="","",'Services - Base year'!G85)</f>
        <v/>
      </c>
      <c r="H85" s="102"/>
      <c r="I85" s="31"/>
    </row>
    <row r="86" spans="3:9" ht="19.5" customHeight="1" x14ac:dyDescent="0.2">
      <c r="C86" s="13"/>
      <c r="D86" s="19">
        <f t="shared" si="1"/>
        <v>77</v>
      </c>
      <c r="E86" s="178" t="str">
        <f>IF(OR('Services - Base year'!E86="",'Services - Base year'!E86="[Enter service]"),"",'Services - Base year'!E86)</f>
        <v/>
      </c>
      <c r="F86" s="179" t="str">
        <f>IF(OR('Services - Base year'!F86="",'Services - Base year'!F86="[Select]"),"",'Services - Base year'!F86)</f>
        <v/>
      </c>
      <c r="G86" s="294" t="str">
        <f>IF('Services - Base year'!G86="","",'Services - Base year'!G86)</f>
        <v/>
      </c>
      <c r="H86" s="102"/>
      <c r="I86" s="31"/>
    </row>
    <row r="87" spans="3:9" ht="19.5" customHeight="1" x14ac:dyDescent="0.2">
      <c r="C87" s="13"/>
      <c r="D87" s="85">
        <f t="shared" si="1"/>
        <v>78</v>
      </c>
      <c r="E87" s="178" t="str">
        <f>IF(OR('Services - Base year'!E87="",'Services - Base year'!E87="[Enter service]"),"",'Services - Base year'!E87)</f>
        <v/>
      </c>
      <c r="F87" s="179" t="str">
        <f>IF(OR('Services - Base year'!F87="",'Services - Base year'!F87="[Select]"),"",'Services - Base year'!F87)</f>
        <v/>
      </c>
      <c r="G87" s="294" t="str">
        <f>IF('Services - Base year'!G87="","",'Services - Base year'!G87)</f>
        <v/>
      </c>
      <c r="H87" s="102"/>
      <c r="I87" s="31"/>
    </row>
    <row r="88" spans="3:9" ht="19.5" customHeight="1" x14ac:dyDescent="0.2">
      <c r="C88" s="13"/>
      <c r="D88" s="19">
        <f t="shared" si="1"/>
        <v>79</v>
      </c>
      <c r="E88" s="178" t="str">
        <f>IF(OR('Services - Base year'!E88="",'Services - Base year'!E88="[Enter service]"),"",'Services - Base year'!E88)</f>
        <v/>
      </c>
      <c r="F88" s="179" t="str">
        <f>IF(OR('Services - Base year'!F88="",'Services - Base year'!F88="[Select]"),"",'Services - Base year'!F88)</f>
        <v/>
      </c>
      <c r="G88" s="294" t="str">
        <f>IF('Services - Base year'!G88="","",'Services - Base year'!G88)</f>
        <v/>
      </c>
      <c r="H88" s="102"/>
      <c r="I88" s="31"/>
    </row>
    <row r="89" spans="3:9" ht="19.5" customHeight="1" x14ac:dyDescent="0.2">
      <c r="C89" s="13"/>
      <c r="D89" s="19">
        <f t="shared" si="1"/>
        <v>80</v>
      </c>
      <c r="E89" s="178" t="str">
        <f>IF(OR('Services - Base year'!E89="",'Services - Base year'!E89="[Enter service]"),"",'Services - Base year'!E89)</f>
        <v/>
      </c>
      <c r="F89" s="179" t="str">
        <f>IF(OR('Services - Base year'!F89="",'Services - Base year'!F89="[Select]"),"",'Services - Base year'!F89)</f>
        <v/>
      </c>
      <c r="G89" s="294" t="str">
        <f>IF('Services - Base year'!G89="","",'Services - Base year'!G89)</f>
        <v/>
      </c>
      <c r="H89" s="102"/>
      <c r="I89" s="31"/>
    </row>
    <row r="90" spans="3:9" ht="19.5" customHeight="1" x14ac:dyDescent="0.2">
      <c r="C90" s="13"/>
      <c r="D90" s="85">
        <f t="shared" si="1"/>
        <v>81</v>
      </c>
      <c r="E90" s="178" t="str">
        <f>IF(OR('Services - Base year'!E90="",'Services - Base year'!E90="[Enter service]"),"",'Services - Base year'!E90)</f>
        <v/>
      </c>
      <c r="F90" s="179" t="str">
        <f>IF(OR('Services - Base year'!F90="",'Services - Base year'!F90="[Select]"),"",'Services - Base year'!F90)</f>
        <v/>
      </c>
      <c r="G90" s="294" t="str">
        <f>IF('Services - Base year'!G90="","",'Services - Base year'!G90)</f>
        <v/>
      </c>
      <c r="H90" s="102"/>
      <c r="I90" s="31"/>
    </row>
    <row r="91" spans="3:9" ht="19.5" customHeight="1" x14ac:dyDescent="0.2">
      <c r="C91" s="13"/>
      <c r="D91" s="19">
        <f t="shared" si="1"/>
        <v>82</v>
      </c>
      <c r="E91" s="178" t="str">
        <f>IF(OR('Services - Base year'!E91="",'Services - Base year'!E91="[Enter service]"),"",'Services - Base year'!E91)</f>
        <v/>
      </c>
      <c r="F91" s="179" t="str">
        <f>IF(OR('Services - Base year'!F91="",'Services - Base year'!F91="[Select]"),"",'Services - Base year'!F91)</f>
        <v/>
      </c>
      <c r="G91" s="294" t="str">
        <f>IF('Services - Base year'!G91="","",'Services - Base year'!G91)</f>
        <v/>
      </c>
      <c r="H91" s="102"/>
      <c r="I91" s="31"/>
    </row>
    <row r="92" spans="3:9" ht="19.5" customHeight="1" x14ac:dyDescent="0.2">
      <c r="C92" s="13"/>
      <c r="D92" s="19">
        <f t="shared" si="1"/>
        <v>83</v>
      </c>
      <c r="E92" s="178" t="str">
        <f>IF(OR('Services - Base year'!E92="",'Services - Base year'!E92="[Enter service]"),"",'Services - Base year'!E92)</f>
        <v/>
      </c>
      <c r="F92" s="179" t="str">
        <f>IF(OR('Services - Base year'!F92="",'Services - Base year'!F92="[Select]"),"",'Services - Base year'!F92)</f>
        <v/>
      </c>
      <c r="G92" s="294" t="str">
        <f>IF('Services - Base year'!G92="","",'Services - Base year'!G92)</f>
        <v/>
      </c>
      <c r="H92" s="102"/>
      <c r="I92" s="31"/>
    </row>
    <row r="93" spans="3:9" ht="19.5" customHeight="1" x14ac:dyDescent="0.2">
      <c r="C93" s="13"/>
      <c r="D93" s="85">
        <f t="shared" si="1"/>
        <v>84</v>
      </c>
      <c r="E93" s="178" t="str">
        <f>IF(OR('Services - Base year'!E93="",'Services - Base year'!E93="[Enter service]"),"",'Services - Base year'!E93)</f>
        <v/>
      </c>
      <c r="F93" s="179" t="str">
        <f>IF(OR('Services - Base year'!F93="",'Services - Base year'!F93="[Select]"),"",'Services - Base year'!F93)</f>
        <v/>
      </c>
      <c r="G93" s="294" t="str">
        <f>IF('Services - Base year'!G93="","",'Services - Base year'!G93)</f>
        <v/>
      </c>
      <c r="H93" s="102"/>
      <c r="I93" s="31"/>
    </row>
    <row r="94" spans="3:9" ht="19.5" customHeight="1" x14ac:dyDescent="0.2">
      <c r="C94" s="13"/>
      <c r="D94" s="19">
        <f t="shared" si="1"/>
        <v>85</v>
      </c>
      <c r="E94" s="178" t="str">
        <f>IF(OR('Services - Base year'!E94="",'Services - Base year'!E94="[Enter service]"),"",'Services - Base year'!E94)</f>
        <v/>
      </c>
      <c r="F94" s="179" t="str">
        <f>IF(OR('Services - Base year'!F94="",'Services - Base year'!F94="[Select]"),"",'Services - Base year'!F94)</f>
        <v/>
      </c>
      <c r="G94" s="294" t="str">
        <f>IF('Services - Base year'!G94="","",'Services - Base year'!G94)</f>
        <v/>
      </c>
      <c r="H94" s="102"/>
      <c r="I94" s="31"/>
    </row>
    <row r="95" spans="3:9" ht="19.5" customHeight="1" x14ac:dyDescent="0.2">
      <c r="C95" s="13"/>
      <c r="D95" s="19">
        <f t="shared" si="1"/>
        <v>86</v>
      </c>
      <c r="E95" s="178" t="str">
        <f>IF(OR('Services - Base year'!E95="",'Services - Base year'!E95="[Enter service]"),"",'Services - Base year'!E95)</f>
        <v/>
      </c>
      <c r="F95" s="179" t="str">
        <f>IF(OR('Services - Base year'!F95="",'Services - Base year'!F95="[Select]"),"",'Services - Base year'!F95)</f>
        <v/>
      </c>
      <c r="G95" s="294" t="str">
        <f>IF('Services - Base year'!G95="","",'Services - Base year'!G95)</f>
        <v/>
      </c>
      <c r="H95" s="102"/>
      <c r="I95" s="31"/>
    </row>
    <row r="96" spans="3:9" ht="19.5" customHeight="1" x14ac:dyDescent="0.2">
      <c r="C96" s="13"/>
      <c r="D96" s="85">
        <f t="shared" si="1"/>
        <v>87</v>
      </c>
      <c r="E96" s="178" t="str">
        <f>IF(OR('Services - Base year'!E96="",'Services - Base year'!E96="[Enter service]"),"",'Services - Base year'!E96)</f>
        <v/>
      </c>
      <c r="F96" s="179" t="str">
        <f>IF(OR('Services - Base year'!F96="",'Services - Base year'!F96="[Select]"),"",'Services - Base year'!F96)</f>
        <v/>
      </c>
      <c r="G96" s="294" t="str">
        <f>IF('Services - Base year'!G96="","",'Services - Base year'!G96)</f>
        <v/>
      </c>
      <c r="H96" s="102"/>
      <c r="I96" s="31"/>
    </row>
    <row r="97" spans="3:9" ht="19.5" customHeight="1" x14ac:dyDescent="0.2">
      <c r="C97" s="13"/>
      <c r="D97" s="19">
        <f t="shared" si="1"/>
        <v>88</v>
      </c>
      <c r="E97" s="178" t="str">
        <f>IF(OR('Services - Base year'!E97="",'Services - Base year'!E97="[Enter service]"),"",'Services - Base year'!E97)</f>
        <v/>
      </c>
      <c r="F97" s="179" t="str">
        <f>IF(OR('Services - Base year'!F97="",'Services - Base year'!F97="[Select]"),"",'Services - Base year'!F97)</f>
        <v/>
      </c>
      <c r="G97" s="294" t="str">
        <f>IF('Services - Base year'!G97="","",'Services - Base year'!G97)</f>
        <v/>
      </c>
      <c r="H97" s="102"/>
      <c r="I97" s="31"/>
    </row>
    <row r="98" spans="3:9" ht="19.5" customHeight="1" x14ac:dyDescent="0.2">
      <c r="C98" s="13"/>
      <c r="D98" s="19">
        <f t="shared" si="1"/>
        <v>89</v>
      </c>
      <c r="E98" s="178" t="str">
        <f>IF(OR('Services - Base year'!E98="",'Services - Base year'!E98="[Enter service]"),"",'Services - Base year'!E98)</f>
        <v/>
      </c>
      <c r="F98" s="179" t="str">
        <f>IF(OR('Services - Base year'!F98="",'Services - Base year'!F98="[Select]"),"",'Services - Base year'!F98)</f>
        <v/>
      </c>
      <c r="G98" s="294" t="str">
        <f>IF('Services - Base year'!G98="","",'Services - Base year'!G98)</f>
        <v/>
      </c>
      <c r="H98" s="102"/>
      <c r="I98" s="31"/>
    </row>
    <row r="99" spans="3:9" ht="19.5" customHeight="1" x14ac:dyDescent="0.2">
      <c r="C99" s="13"/>
      <c r="D99" s="85">
        <f t="shared" si="1"/>
        <v>90</v>
      </c>
      <c r="E99" s="178" t="str">
        <f>IF(OR('Services - Base year'!E99="",'Services - Base year'!E99="[Enter service]"),"",'Services - Base year'!E99)</f>
        <v/>
      </c>
      <c r="F99" s="179" t="str">
        <f>IF(OR('Services - Base year'!F99="",'Services - Base year'!F99="[Select]"),"",'Services - Base year'!F99)</f>
        <v/>
      </c>
      <c r="G99" s="294" t="str">
        <f>IF('Services - Base year'!G99="","",'Services - Base year'!G99)</f>
        <v/>
      </c>
      <c r="H99" s="102"/>
      <c r="I99" s="31"/>
    </row>
    <row r="100" spans="3:9" ht="19.5" customHeight="1" x14ac:dyDescent="0.2">
      <c r="C100" s="13"/>
      <c r="D100" s="19">
        <f t="shared" si="1"/>
        <v>91</v>
      </c>
      <c r="E100" s="178" t="str">
        <f>IF(OR('Services - Base year'!E100="",'Services - Base year'!E100="[Enter service]"),"",'Services - Base year'!E100)</f>
        <v/>
      </c>
      <c r="F100" s="179" t="str">
        <f>IF(OR('Services - Base year'!F100="",'Services - Base year'!F100="[Select]"),"",'Services - Base year'!F100)</f>
        <v/>
      </c>
      <c r="G100" s="294" t="str">
        <f>IF('Services - Base year'!G100="","",'Services - Base year'!G100)</f>
        <v/>
      </c>
      <c r="H100" s="102"/>
      <c r="I100" s="31"/>
    </row>
    <row r="101" spans="3:9" ht="19.5" customHeight="1" x14ac:dyDescent="0.2">
      <c r="C101" s="13"/>
      <c r="D101" s="19">
        <f t="shared" si="1"/>
        <v>92</v>
      </c>
      <c r="E101" s="178" t="str">
        <f>IF(OR('Services - Base year'!E101="",'Services - Base year'!E101="[Enter service]"),"",'Services - Base year'!E101)</f>
        <v/>
      </c>
      <c r="F101" s="179" t="str">
        <f>IF(OR('Services - Base year'!F101="",'Services - Base year'!F101="[Select]"),"",'Services - Base year'!F101)</f>
        <v/>
      </c>
      <c r="G101" s="294" t="str">
        <f>IF('Services - Base year'!G101="","",'Services - Base year'!G101)</f>
        <v/>
      </c>
      <c r="H101" s="102"/>
      <c r="I101" s="31"/>
    </row>
    <row r="102" spans="3:9" ht="19.5" customHeight="1" x14ac:dyDescent="0.2">
      <c r="C102" s="13"/>
      <c r="D102" s="85">
        <f t="shared" si="1"/>
        <v>93</v>
      </c>
      <c r="E102" s="178" t="str">
        <f>IF(OR('Services - Base year'!E102="",'Services - Base year'!E102="[Enter service]"),"",'Services - Base year'!E102)</f>
        <v/>
      </c>
      <c r="F102" s="179" t="str">
        <f>IF(OR('Services - Base year'!F102="",'Services - Base year'!F102="[Select]"),"",'Services - Base year'!F102)</f>
        <v/>
      </c>
      <c r="G102" s="294" t="str">
        <f>IF('Services - Base year'!G102="","",'Services - Base year'!G102)</f>
        <v/>
      </c>
      <c r="H102" s="102"/>
      <c r="I102" s="31"/>
    </row>
    <row r="103" spans="3:9" ht="19.5" customHeight="1" x14ac:dyDescent="0.2">
      <c r="C103" s="13"/>
      <c r="D103" s="19">
        <f t="shared" si="1"/>
        <v>94</v>
      </c>
      <c r="E103" s="178" t="str">
        <f>IF(OR('Services - Base year'!E103="",'Services - Base year'!E103="[Enter service]"),"",'Services - Base year'!E103)</f>
        <v/>
      </c>
      <c r="F103" s="179" t="str">
        <f>IF(OR('Services - Base year'!F103="",'Services - Base year'!F103="[Select]"),"",'Services - Base year'!F103)</f>
        <v/>
      </c>
      <c r="G103" s="294" t="str">
        <f>IF('Services - Base year'!G103="","",'Services - Base year'!G103)</f>
        <v/>
      </c>
      <c r="H103" s="102"/>
      <c r="I103" s="31"/>
    </row>
    <row r="104" spans="3:9" ht="19.5" customHeight="1" x14ac:dyDescent="0.2">
      <c r="C104" s="13"/>
      <c r="D104" s="19">
        <f t="shared" si="1"/>
        <v>95</v>
      </c>
      <c r="E104" s="178" t="str">
        <f>IF(OR('Services - Base year'!E104="",'Services - Base year'!E104="[Enter service]"),"",'Services - Base year'!E104)</f>
        <v/>
      </c>
      <c r="F104" s="179" t="str">
        <f>IF(OR('Services - Base year'!F104="",'Services - Base year'!F104="[Select]"),"",'Services - Base year'!F104)</f>
        <v/>
      </c>
      <c r="G104" s="294" t="str">
        <f>IF('Services - Base year'!G104="","",'Services - Base year'!G104)</f>
        <v/>
      </c>
      <c r="H104" s="102"/>
      <c r="I104" s="31"/>
    </row>
    <row r="105" spans="3:9" ht="19.5" customHeight="1" x14ac:dyDescent="0.2">
      <c r="C105" s="13"/>
      <c r="D105" s="85">
        <f t="shared" si="1"/>
        <v>96</v>
      </c>
      <c r="E105" s="178" t="str">
        <f>IF(OR('Services - Base year'!E105="",'Services - Base year'!E105="[Enter service]"),"",'Services - Base year'!E105)</f>
        <v/>
      </c>
      <c r="F105" s="179" t="str">
        <f>IF(OR('Services - Base year'!F105="",'Services - Base year'!F105="[Select]"),"",'Services - Base year'!F105)</f>
        <v/>
      </c>
      <c r="G105" s="294" t="str">
        <f>IF('Services - Base year'!G105="","",'Services - Base year'!G105)</f>
        <v/>
      </c>
      <c r="H105" s="102"/>
      <c r="I105" s="31"/>
    </row>
    <row r="106" spans="3:9" ht="19.5" customHeight="1" x14ac:dyDescent="0.2">
      <c r="C106" s="13"/>
      <c r="D106" s="19">
        <f t="shared" si="1"/>
        <v>97</v>
      </c>
      <c r="E106" s="178" t="str">
        <f>IF(OR('Services - Base year'!E106="",'Services - Base year'!E106="[Enter service]"),"",'Services - Base year'!E106)</f>
        <v/>
      </c>
      <c r="F106" s="179" t="str">
        <f>IF(OR('Services - Base year'!F106="",'Services - Base year'!F106="[Select]"),"",'Services - Base year'!F106)</f>
        <v/>
      </c>
      <c r="G106" s="294" t="str">
        <f>IF('Services - Base year'!G106="","",'Services - Base year'!G106)</f>
        <v/>
      </c>
      <c r="H106" s="102"/>
      <c r="I106" s="31"/>
    </row>
    <row r="107" spans="3:9" ht="19.5" customHeight="1" x14ac:dyDescent="0.2">
      <c r="C107" s="13"/>
      <c r="D107" s="19">
        <f t="shared" si="1"/>
        <v>98</v>
      </c>
      <c r="E107" s="178" t="str">
        <f>IF(OR('Services - Base year'!E107="",'Services - Base year'!E107="[Enter service]"),"",'Services - Base year'!E107)</f>
        <v/>
      </c>
      <c r="F107" s="179" t="str">
        <f>IF(OR('Services - Base year'!F107="",'Services - Base year'!F107="[Select]"),"",'Services - Base year'!F107)</f>
        <v/>
      </c>
      <c r="G107" s="294" t="str">
        <f>IF('Services - Base year'!G107="","",'Services - Base year'!G107)</f>
        <v/>
      </c>
      <c r="H107" s="102"/>
      <c r="I107" s="31"/>
    </row>
    <row r="108" spans="3:9" ht="19.5" customHeight="1" x14ac:dyDescent="0.2">
      <c r="C108" s="13"/>
      <c r="D108" s="85">
        <f t="shared" si="1"/>
        <v>99</v>
      </c>
      <c r="E108" s="178" t="str">
        <f>IF(OR('Services - Base year'!E108="",'Services - Base year'!E108="[Enter service]"),"",'Services - Base year'!E108)</f>
        <v/>
      </c>
      <c r="F108" s="179" t="str">
        <f>IF(OR('Services - Base year'!F108="",'Services - Base year'!F108="[Select]"),"",'Services - Base year'!F108)</f>
        <v/>
      </c>
      <c r="G108" s="294" t="str">
        <f>IF('Services - Base year'!G108="","",'Services - Base year'!G108)</f>
        <v/>
      </c>
      <c r="H108" s="102"/>
      <c r="I108" s="31"/>
    </row>
    <row r="109" spans="3:9" ht="19.5" customHeight="1" x14ac:dyDescent="0.2">
      <c r="C109" s="13"/>
      <c r="D109" s="19">
        <f t="shared" si="1"/>
        <v>100</v>
      </c>
      <c r="E109" s="178" t="str">
        <f>IF(OR('Services - Base year'!E109="",'Services - Base year'!E109="[Enter service]"),"",'Services - Base year'!E109)</f>
        <v/>
      </c>
      <c r="F109" s="179" t="str">
        <f>IF(OR('Services - Base year'!F109="",'Services - Base year'!F109="[Select]"),"",'Services - Base year'!F109)</f>
        <v/>
      </c>
      <c r="G109" s="294" t="str">
        <f>IF('Services - Base year'!G109="","",'Services - Base year'!G109)</f>
        <v/>
      </c>
      <c r="H109" s="102"/>
      <c r="I109" s="31"/>
    </row>
    <row r="110" spans="3:9" ht="19.5" customHeight="1" x14ac:dyDescent="0.2">
      <c r="C110" s="13"/>
      <c r="D110" s="19">
        <f t="shared" si="1"/>
        <v>101</v>
      </c>
      <c r="E110" s="178" t="str">
        <f>IF(OR('Services - Base year'!E110="",'Services - Base year'!E110="[Enter service]"),"",'Services - Base year'!E110)</f>
        <v/>
      </c>
      <c r="F110" s="179" t="str">
        <f>IF(OR('Services - Base year'!F110="",'Services - Base year'!F110="[Select]"),"",'Services - Base year'!F110)</f>
        <v/>
      </c>
      <c r="G110" s="294" t="str">
        <f>IF('Services - Base year'!G110="","",'Services - Base year'!G110)</f>
        <v/>
      </c>
      <c r="H110" s="102"/>
      <c r="I110" s="31"/>
    </row>
    <row r="111" spans="3:9" ht="19.5" customHeight="1" x14ac:dyDescent="0.2">
      <c r="C111" s="13"/>
      <c r="D111" s="85">
        <f t="shared" si="1"/>
        <v>102</v>
      </c>
      <c r="E111" s="178" t="str">
        <f>IF(OR('Services - Base year'!E111="",'Services - Base year'!E111="[Enter service]"),"",'Services - Base year'!E111)</f>
        <v/>
      </c>
      <c r="F111" s="179" t="str">
        <f>IF(OR('Services - Base year'!F111="",'Services - Base year'!F111="[Select]"),"",'Services - Base year'!F111)</f>
        <v/>
      </c>
      <c r="G111" s="294" t="str">
        <f>IF('Services - Base year'!G111="","",'Services - Base year'!G111)</f>
        <v/>
      </c>
      <c r="H111" s="102"/>
      <c r="I111" s="31"/>
    </row>
    <row r="112" spans="3:9" ht="19.5" customHeight="1" x14ac:dyDescent="0.2">
      <c r="C112" s="13"/>
      <c r="D112" s="19">
        <f t="shared" si="1"/>
        <v>103</v>
      </c>
      <c r="E112" s="178" t="str">
        <f>IF(OR('Services - Base year'!E112="",'Services - Base year'!E112="[Enter service]"),"",'Services - Base year'!E112)</f>
        <v/>
      </c>
      <c r="F112" s="179" t="str">
        <f>IF(OR('Services - Base year'!F112="",'Services - Base year'!F112="[Select]"),"",'Services - Base year'!F112)</f>
        <v/>
      </c>
      <c r="G112" s="294" t="str">
        <f>IF('Services - Base year'!G112="","",'Services - Base year'!G112)</f>
        <v/>
      </c>
      <c r="H112" s="102"/>
      <c r="I112" s="31"/>
    </row>
    <row r="113" spans="3:9" ht="19.5" customHeight="1" x14ac:dyDescent="0.2">
      <c r="C113" s="13"/>
      <c r="D113" s="19">
        <f t="shared" si="1"/>
        <v>104</v>
      </c>
      <c r="E113" s="178" t="str">
        <f>IF(OR('Services - Base year'!E113="",'Services - Base year'!E113="[Enter service]"),"",'Services - Base year'!E113)</f>
        <v/>
      </c>
      <c r="F113" s="179" t="str">
        <f>IF(OR('Services - Base year'!F113="",'Services - Base year'!F113="[Select]"),"",'Services - Base year'!F113)</f>
        <v/>
      </c>
      <c r="G113" s="294" t="str">
        <f>IF('Services - Base year'!G113="","",'Services - Base year'!G113)</f>
        <v/>
      </c>
      <c r="H113" s="102"/>
      <c r="I113" s="31"/>
    </row>
    <row r="114" spans="3:9" ht="19.5" customHeight="1" x14ac:dyDescent="0.2">
      <c r="C114" s="13"/>
      <c r="D114" s="85">
        <f t="shared" si="1"/>
        <v>105</v>
      </c>
      <c r="E114" s="178" t="str">
        <f>IF(OR('Services - Base year'!E114="",'Services - Base year'!E114="[Enter service]"),"",'Services - Base year'!E114)</f>
        <v/>
      </c>
      <c r="F114" s="179" t="str">
        <f>IF(OR('Services - Base year'!F114="",'Services - Base year'!F114="[Select]"),"",'Services - Base year'!F114)</f>
        <v/>
      </c>
      <c r="G114" s="294" t="str">
        <f>IF('Services - Base year'!G114="","",'Services - Base year'!G114)</f>
        <v/>
      </c>
      <c r="H114" s="102"/>
      <c r="I114" s="31"/>
    </row>
    <row r="115" spans="3:9" ht="19.5" customHeight="1" x14ac:dyDescent="0.2">
      <c r="C115" s="13"/>
      <c r="D115" s="19">
        <f t="shared" si="1"/>
        <v>106</v>
      </c>
      <c r="E115" s="178" t="str">
        <f>IF(OR('Services - Base year'!E115="",'Services - Base year'!E115="[Enter service]"),"",'Services - Base year'!E115)</f>
        <v/>
      </c>
      <c r="F115" s="179" t="str">
        <f>IF(OR('Services - Base year'!F115="",'Services - Base year'!F115="[Select]"),"",'Services - Base year'!F115)</f>
        <v/>
      </c>
      <c r="G115" s="294" t="str">
        <f>IF('Services - Base year'!G115="","",'Services - Base year'!G115)</f>
        <v/>
      </c>
      <c r="H115" s="102"/>
      <c r="I115" s="31"/>
    </row>
    <row r="116" spans="3:9" ht="19.5" customHeight="1" x14ac:dyDescent="0.2">
      <c r="C116" s="13"/>
      <c r="D116" s="19">
        <f t="shared" si="1"/>
        <v>107</v>
      </c>
      <c r="E116" s="178" t="str">
        <f>IF(OR('Services - Base year'!E116="",'Services - Base year'!E116="[Enter service]"),"",'Services - Base year'!E116)</f>
        <v/>
      </c>
      <c r="F116" s="179" t="str">
        <f>IF(OR('Services - Base year'!F116="",'Services - Base year'!F116="[Select]"),"",'Services - Base year'!F116)</f>
        <v/>
      </c>
      <c r="G116" s="294" t="str">
        <f>IF('Services - Base year'!G116="","",'Services - Base year'!G116)</f>
        <v/>
      </c>
      <c r="H116" s="102"/>
      <c r="I116" s="31"/>
    </row>
    <row r="117" spans="3:9" ht="19.5" customHeight="1" x14ac:dyDescent="0.2">
      <c r="C117" s="13"/>
      <c r="D117" s="85">
        <f t="shared" si="1"/>
        <v>108</v>
      </c>
      <c r="E117" s="178" t="str">
        <f>IF(OR('Services - Base year'!E117="",'Services - Base year'!E117="[Enter service]"),"",'Services - Base year'!E117)</f>
        <v/>
      </c>
      <c r="F117" s="179" t="str">
        <f>IF(OR('Services - Base year'!F117="",'Services - Base year'!F117="[Select]"),"",'Services - Base year'!F117)</f>
        <v/>
      </c>
      <c r="G117" s="294" t="str">
        <f>IF('Services - Base year'!G117="","",'Services - Base year'!G117)</f>
        <v/>
      </c>
      <c r="H117" s="102"/>
      <c r="I117" s="31"/>
    </row>
    <row r="118" spans="3:9" ht="19.5" customHeight="1" x14ac:dyDescent="0.2">
      <c r="C118" s="13"/>
      <c r="D118" s="19">
        <f t="shared" si="1"/>
        <v>109</v>
      </c>
      <c r="E118" s="178" t="str">
        <f>IF(OR('Services - Base year'!E118="",'Services - Base year'!E118="[Enter service]"),"",'Services - Base year'!E118)</f>
        <v/>
      </c>
      <c r="F118" s="179" t="str">
        <f>IF(OR('Services - Base year'!F118="",'Services - Base year'!F118="[Select]"),"",'Services - Base year'!F118)</f>
        <v/>
      </c>
      <c r="G118" s="294" t="str">
        <f>IF('Services - Base year'!G118="","",'Services - Base year'!G118)</f>
        <v/>
      </c>
      <c r="H118" s="102"/>
      <c r="I118" s="31"/>
    </row>
    <row r="119" spans="3:9" ht="19.5" customHeight="1" x14ac:dyDescent="0.2">
      <c r="C119" s="13"/>
      <c r="D119" s="19">
        <f t="shared" si="1"/>
        <v>110</v>
      </c>
      <c r="E119" s="178" t="str">
        <f>IF(OR('Services - Base year'!E119="",'Services - Base year'!E119="[Enter service]"),"",'Services - Base year'!E119)</f>
        <v/>
      </c>
      <c r="F119" s="179" t="str">
        <f>IF(OR('Services - Base year'!F119="",'Services - Base year'!F119="[Select]"),"",'Services - Base year'!F119)</f>
        <v/>
      </c>
      <c r="G119" s="294" t="str">
        <f>IF('Services - Base year'!G119="","",'Services - Base year'!G119)</f>
        <v/>
      </c>
      <c r="H119" s="102"/>
      <c r="I119" s="31"/>
    </row>
    <row r="120" spans="3:9" ht="19.5" customHeight="1" x14ac:dyDescent="0.2">
      <c r="C120" s="13"/>
      <c r="D120" s="85">
        <f t="shared" si="1"/>
        <v>111</v>
      </c>
      <c r="E120" s="178" t="str">
        <f>IF(OR('Services - Base year'!E120="",'Services - Base year'!E120="[Enter service]"),"",'Services - Base year'!E120)</f>
        <v/>
      </c>
      <c r="F120" s="179" t="str">
        <f>IF(OR('Services - Base year'!F120="",'Services - Base year'!F120="[Select]"),"",'Services - Base year'!F120)</f>
        <v/>
      </c>
      <c r="G120" s="294" t="str">
        <f>IF('Services - Base year'!G120="","",'Services - Base year'!G120)</f>
        <v/>
      </c>
      <c r="H120" s="102"/>
      <c r="I120" s="31"/>
    </row>
    <row r="121" spans="3:9" ht="19.5" customHeight="1" x14ac:dyDescent="0.2">
      <c r="C121" s="13"/>
      <c r="D121" s="19">
        <f t="shared" si="1"/>
        <v>112</v>
      </c>
      <c r="E121" s="178" t="str">
        <f>IF(OR('Services - Base year'!E121="",'Services - Base year'!E121="[Enter service]"),"",'Services - Base year'!E121)</f>
        <v/>
      </c>
      <c r="F121" s="179" t="str">
        <f>IF(OR('Services - Base year'!F121="",'Services - Base year'!F121="[Select]"),"",'Services - Base year'!F121)</f>
        <v/>
      </c>
      <c r="G121" s="294" t="str">
        <f>IF('Services - Base year'!G121="","",'Services - Base year'!G121)</f>
        <v/>
      </c>
      <c r="H121" s="102"/>
      <c r="I121" s="31"/>
    </row>
    <row r="122" spans="3:9" ht="19.5" customHeight="1" x14ac:dyDescent="0.2">
      <c r="C122" s="13"/>
      <c r="D122" s="19">
        <f t="shared" si="1"/>
        <v>113</v>
      </c>
      <c r="E122" s="178" t="str">
        <f>IF(OR('Services - Base year'!E122="",'Services - Base year'!E122="[Enter service]"),"",'Services - Base year'!E122)</f>
        <v/>
      </c>
      <c r="F122" s="179" t="str">
        <f>IF(OR('Services - Base year'!F122="",'Services - Base year'!F122="[Select]"),"",'Services - Base year'!F122)</f>
        <v/>
      </c>
      <c r="G122" s="294" t="str">
        <f>IF('Services - Base year'!G122="","",'Services - Base year'!G122)</f>
        <v/>
      </c>
      <c r="H122" s="102"/>
      <c r="I122" s="31"/>
    </row>
    <row r="123" spans="3:9" ht="19.5" customHeight="1" x14ac:dyDescent="0.2">
      <c r="C123" s="13"/>
      <c r="D123" s="85">
        <f t="shared" si="1"/>
        <v>114</v>
      </c>
      <c r="E123" s="178" t="str">
        <f>IF(OR('Services - Base year'!E123="",'Services - Base year'!E123="[Enter service]"),"",'Services - Base year'!E123)</f>
        <v/>
      </c>
      <c r="F123" s="179" t="str">
        <f>IF(OR('Services - Base year'!F123="",'Services - Base year'!F123="[Select]"),"",'Services - Base year'!F123)</f>
        <v/>
      </c>
      <c r="G123" s="294" t="str">
        <f>IF('Services - Base year'!G123="","",'Services - Base year'!G123)</f>
        <v/>
      </c>
      <c r="H123" s="102"/>
      <c r="I123" s="31"/>
    </row>
    <row r="124" spans="3:9" ht="19.5" customHeight="1" x14ac:dyDescent="0.2">
      <c r="C124" s="13"/>
      <c r="D124" s="19">
        <f t="shared" si="1"/>
        <v>115</v>
      </c>
      <c r="E124" s="178" t="str">
        <f>IF(OR('Services - Base year'!E124="",'Services - Base year'!E124="[Enter service]"),"",'Services - Base year'!E124)</f>
        <v/>
      </c>
      <c r="F124" s="179" t="str">
        <f>IF(OR('Services - Base year'!F124="",'Services - Base year'!F124="[Select]"),"",'Services - Base year'!F124)</f>
        <v/>
      </c>
      <c r="G124" s="294" t="str">
        <f>IF('Services - Base year'!G124="","",'Services - Base year'!G124)</f>
        <v/>
      </c>
      <c r="H124" s="102"/>
      <c r="I124" s="31"/>
    </row>
    <row r="125" spans="3:9" ht="19.5" customHeight="1" x14ac:dyDescent="0.2">
      <c r="C125" s="13"/>
      <c r="D125" s="19">
        <f t="shared" si="1"/>
        <v>116</v>
      </c>
      <c r="E125" s="178" t="str">
        <f>IF(OR('Services - Base year'!E125="",'Services - Base year'!E125="[Enter service]"),"",'Services - Base year'!E125)</f>
        <v/>
      </c>
      <c r="F125" s="179" t="str">
        <f>IF(OR('Services - Base year'!F125="",'Services - Base year'!F125="[Select]"),"",'Services - Base year'!F125)</f>
        <v/>
      </c>
      <c r="G125" s="294" t="str">
        <f>IF('Services - Base year'!G125="","",'Services - Base year'!G125)</f>
        <v/>
      </c>
      <c r="H125" s="102"/>
      <c r="I125" s="31"/>
    </row>
    <row r="126" spans="3:9" ht="19.5" customHeight="1" x14ac:dyDescent="0.2">
      <c r="C126" s="13"/>
      <c r="D126" s="85">
        <f t="shared" si="1"/>
        <v>117</v>
      </c>
      <c r="E126" s="178" t="str">
        <f>IF(OR('Services - Base year'!E126="",'Services - Base year'!E126="[Enter service]"),"",'Services - Base year'!E126)</f>
        <v/>
      </c>
      <c r="F126" s="179" t="str">
        <f>IF(OR('Services - Base year'!F126="",'Services - Base year'!F126="[Select]"),"",'Services - Base year'!F126)</f>
        <v/>
      </c>
      <c r="G126" s="294" t="str">
        <f>IF('Services - Base year'!G126="","",'Services - Base year'!G126)</f>
        <v/>
      </c>
      <c r="H126" s="102"/>
      <c r="I126" s="31"/>
    </row>
    <row r="127" spans="3:9" ht="19.5" customHeight="1" x14ac:dyDescent="0.2">
      <c r="C127" s="13"/>
      <c r="D127" s="19">
        <f t="shared" si="1"/>
        <v>118</v>
      </c>
      <c r="E127" s="178" t="str">
        <f>IF(OR('Services - Base year'!E127="",'Services - Base year'!E127="[Enter service]"),"",'Services - Base year'!E127)</f>
        <v/>
      </c>
      <c r="F127" s="179" t="str">
        <f>IF(OR('Services - Base year'!F127="",'Services - Base year'!F127="[Select]"),"",'Services - Base year'!F127)</f>
        <v/>
      </c>
      <c r="G127" s="294" t="str">
        <f>IF('Services - Base year'!G127="","",'Services - Base year'!G127)</f>
        <v/>
      </c>
      <c r="H127" s="102"/>
      <c r="I127" s="31"/>
    </row>
    <row r="128" spans="3:9" ht="19.5" customHeight="1" x14ac:dyDescent="0.2">
      <c r="C128" s="13"/>
      <c r="D128" s="19">
        <f t="shared" si="1"/>
        <v>119</v>
      </c>
      <c r="E128" s="178" t="str">
        <f>IF(OR('Services - Base year'!E128="",'Services - Base year'!E128="[Enter service]"),"",'Services - Base year'!E128)</f>
        <v/>
      </c>
      <c r="F128" s="179" t="str">
        <f>IF(OR('Services - Base year'!F128="",'Services - Base year'!F128="[Select]"),"",'Services - Base year'!F128)</f>
        <v/>
      </c>
      <c r="G128" s="294" t="str">
        <f>IF('Services - Base year'!G128="","",'Services - Base year'!G128)</f>
        <v/>
      </c>
      <c r="H128" s="102"/>
      <c r="I128" s="31"/>
    </row>
    <row r="129" spans="3:9" ht="19.5" customHeight="1" x14ac:dyDescent="0.2">
      <c r="C129" s="13"/>
      <c r="D129" s="85">
        <f t="shared" si="1"/>
        <v>120</v>
      </c>
      <c r="E129" s="178" t="str">
        <f>IF(OR('Services - Base year'!E129="",'Services - Base year'!E129="[Enter service]"),"",'Services - Base year'!E129)</f>
        <v/>
      </c>
      <c r="F129" s="179" t="str">
        <f>IF(OR('Services - Base year'!F129="",'Services - Base year'!F129="[Select]"),"",'Services - Base year'!F129)</f>
        <v/>
      </c>
      <c r="G129" s="294" t="str">
        <f>IF('Services - Base year'!G129="","",'Services - Base year'!G129)</f>
        <v/>
      </c>
      <c r="H129" s="102"/>
      <c r="I129" s="31"/>
    </row>
    <row r="130" spans="3:9" ht="19.5" customHeight="1" x14ac:dyDescent="0.2">
      <c r="C130" s="13"/>
      <c r="D130" s="19">
        <f t="shared" si="1"/>
        <v>121</v>
      </c>
      <c r="E130" s="178" t="str">
        <f>IF(OR('Services - Base year'!E130="",'Services - Base year'!E130="[Enter service]"),"",'Services - Base year'!E130)</f>
        <v/>
      </c>
      <c r="F130" s="179" t="str">
        <f>IF(OR('Services - Base year'!F130="",'Services - Base year'!F130="[Select]"),"",'Services - Base year'!F130)</f>
        <v/>
      </c>
      <c r="G130" s="294" t="str">
        <f>IF('Services - Base year'!G130="","",'Services - Base year'!G130)</f>
        <v/>
      </c>
      <c r="H130" s="102"/>
      <c r="I130" s="31"/>
    </row>
    <row r="131" spans="3:9" ht="19.5" customHeight="1" x14ac:dyDescent="0.2">
      <c r="C131" s="13"/>
      <c r="D131" s="19">
        <f t="shared" si="1"/>
        <v>122</v>
      </c>
      <c r="E131" s="178" t="str">
        <f>IF(OR('Services - Base year'!E131="",'Services - Base year'!E131="[Enter service]"),"",'Services - Base year'!E131)</f>
        <v/>
      </c>
      <c r="F131" s="179" t="str">
        <f>IF(OR('Services - Base year'!F131="",'Services - Base year'!F131="[Select]"),"",'Services - Base year'!F131)</f>
        <v/>
      </c>
      <c r="G131" s="294" t="str">
        <f>IF('Services - Base year'!G131="","",'Services - Base year'!G131)</f>
        <v/>
      </c>
      <c r="H131" s="102"/>
      <c r="I131" s="31"/>
    </row>
    <row r="132" spans="3:9" ht="19.5" customHeight="1" x14ac:dyDescent="0.2">
      <c r="C132" s="13"/>
      <c r="D132" s="85">
        <f t="shared" si="1"/>
        <v>123</v>
      </c>
      <c r="E132" s="178" t="str">
        <f>IF(OR('Services - Base year'!E132="",'Services - Base year'!E132="[Enter service]"),"",'Services - Base year'!E132)</f>
        <v/>
      </c>
      <c r="F132" s="179" t="str">
        <f>IF(OR('Services - Base year'!F132="",'Services - Base year'!F132="[Select]"),"",'Services - Base year'!F132)</f>
        <v/>
      </c>
      <c r="G132" s="294" t="str">
        <f>IF('Services - Base year'!G132="","",'Services - Base year'!G132)</f>
        <v/>
      </c>
      <c r="H132" s="102"/>
      <c r="I132" s="31"/>
    </row>
    <row r="133" spans="3:9" ht="19.5" customHeight="1" x14ac:dyDescent="0.2">
      <c r="C133" s="13"/>
      <c r="D133" s="19">
        <f t="shared" si="1"/>
        <v>124</v>
      </c>
      <c r="E133" s="178" t="str">
        <f>IF(OR('Services - Base year'!E133="",'Services - Base year'!E133="[Enter service]"),"",'Services - Base year'!E133)</f>
        <v/>
      </c>
      <c r="F133" s="179" t="str">
        <f>IF(OR('Services - Base year'!F133="",'Services - Base year'!F133="[Select]"),"",'Services - Base year'!F133)</f>
        <v/>
      </c>
      <c r="G133" s="294" t="str">
        <f>IF('Services - Base year'!G133="","",'Services - Base year'!G133)</f>
        <v/>
      </c>
      <c r="H133" s="102"/>
      <c r="I133" s="31"/>
    </row>
    <row r="134" spans="3:9" ht="19.5" customHeight="1" x14ac:dyDescent="0.2">
      <c r="C134" s="13"/>
      <c r="D134" s="19">
        <f t="shared" si="1"/>
        <v>125</v>
      </c>
      <c r="E134" s="178" t="str">
        <f>IF(OR('Services - Base year'!E134="",'Services - Base year'!E134="[Enter service]"),"",'Services - Base year'!E134)</f>
        <v/>
      </c>
      <c r="F134" s="179" t="str">
        <f>IF(OR('Services - Base year'!F134="",'Services - Base year'!F134="[Select]"),"",'Services - Base year'!F134)</f>
        <v/>
      </c>
      <c r="G134" s="294" t="str">
        <f>IF('Services - Base year'!G134="","",'Services - Base year'!G134)</f>
        <v/>
      </c>
      <c r="H134" s="102"/>
      <c r="I134" s="31"/>
    </row>
    <row r="135" spans="3:9" ht="19.5" customHeight="1" x14ac:dyDescent="0.2">
      <c r="C135" s="13"/>
      <c r="D135" s="85">
        <f t="shared" si="1"/>
        <v>126</v>
      </c>
      <c r="E135" s="178" t="str">
        <f>IF(OR('Services - Base year'!E135="",'Services - Base year'!E135="[Enter service]"),"",'Services - Base year'!E135)</f>
        <v/>
      </c>
      <c r="F135" s="179" t="str">
        <f>IF(OR('Services - Base year'!F135="",'Services - Base year'!F135="[Select]"),"",'Services - Base year'!F135)</f>
        <v/>
      </c>
      <c r="G135" s="294" t="str">
        <f>IF('Services - Base year'!G135="","",'Services - Base year'!G135)</f>
        <v/>
      </c>
      <c r="H135" s="102"/>
      <c r="I135" s="31"/>
    </row>
    <row r="136" spans="3:9" ht="19.5" customHeight="1" x14ac:dyDescent="0.2">
      <c r="C136" s="13"/>
      <c r="D136" s="19">
        <f t="shared" si="1"/>
        <v>127</v>
      </c>
      <c r="E136" s="178" t="str">
        <f>IF(OR('Services - Base year'!E136="",'Services - Base year'!E136="[Enter service]"),"",'Services - Base year'!E136)</f>
        <v/>
      </c>
      <c r="F136" s="179" t="str">
        <f>IF(OR('Services - Base year'!F136="",'Services - Base year'!F136="[Select]"),"",'Services - Base year'!F136)</f>
        <v/>
      </c>
      <c r="G136" s="294" t="str">
        <f>IF('Services - Base year'!G136="","",'Services - Base year'!G136)</f>
        <v/>
      </c>
      <c r="H136" s="102"/>
      <c r="I136" s="31"/>
    </row>
    <row r="137" spans="3:9" ht="19.5" customHeight="1" x14ac:dyDescent="0.2">
      <c r="C137" s="13"/>
      <c r="D137" s="19">
        <f t="shared" si="1"/>
        <v>128</v>
      </c>
      <c r="E137" s="178" t="str">
        <f>IF(OR('Services - Base year'!E137="",'Services - Base year'!E137="[Enter service]"),"",'Services - Base year'!E137)</f>
        <v/>
      </c>
      <c r="F137" s="179" t="str">
        <f>IF(OR('Services - Base year'!F137="",'Services - Base year'!F137="[Select]"),"",'Services - Base year'!F137)</f>
        <v/>
      </c>
      <c r="G137" s="294" t="str">
        <f>IF('Services - Base year'!G137="","",'Services - Base year'!G137)</f>
        <v/>
      </c>
      <c r="H137" s="102"/>
      <c r="I137" s="31"/>
    </row>
    <row r="138" spans="3:9" ht="19.5" customHeight="1" x14ac:dyDescent="0.2">
      <c r="C138" s="13"/>
      <c r="D138" s="85">
        <f t="shared" si="1"/>
        <v>129</v>
      </c>
      <c r="E138" s="178" t="str">
        <f>IF(OR('Services - Base year'!E138="",'Services - Base year'!E138="[Enter service]"),"",'Services - Base year'!E138)</f>
        <v/>
      </c>
      <c r="F138" s="179" t="str">
        <f>IF(OR('Services - Base year'!F138="",'Services - Base year'!F138="[Select]"),"",'Services - Base year'!F138)</f>
        <v/>
      </c>
      <c r="G138" s="294" t="str">
        <f>IF('Services - Base year'!G138="","",'Services - Base year'!G138)</f>
        <v/>
      </c>
      <c r="H138" s="102"/>
      <c r="I138" s="31"/>
    </row>
    <row r="139" spans="3:9" ht="19.5" customHeight="1" x14ac:dyDescent="0.2">
      <c r="C139" s="13"/>
      <c r="D139" s="19">
        <f t="shared" si="1"/>
        <v>130</v>
      </c>
      <c r="E139" s="178" t="str">
        <f>IF(OR('Services - Base year'!E139="",'Services - Base year'!E139="[Enter service]"),"",'Services - Base year'!E139)</f>
        <v/>
      </c>
      <c r="F139" s="179" t="str">
        <f>IF(OR('Services - Base year'!F139="",'Services - Base year'!F139="[Select]"),"",'Services - Base year'!F139)</f>
        <v/>
      </c>
      <c r="G139" s="294" t="str">
        <f>IF('Services - Base year'!G139="","",'Services - Base year'!G139)</f>
        <v/>
      </c>
      <c r="H139" s="102"/>
      <c r="I139" s="31"/>
    </row>
    <row r="140" spans="3:9" ht="19.5" customHeight="1" x14ac:dyDescent="0.2">
      <c r="C140" s="13"/>
      <c r="D140" s="19">
        <f t="shared" si="1"/>
        <v>131</v>
      </c>
      <c r="E140" s="178" t="str">
        <f>IF(OR('Services - Base year'!E140="",'Services - Base year'!E140="[Enter service]"),"",'Services - Base year'!E140)</f>
        <v/>
      </c>
      <c r="F140" s="179" t="str">
        <f>IF(OR('Services - Base year'!F140="",'Services - Base year'!F140="[Select]"),"",'Services - Base year'!F140)</f>
        <v/>
      </c>
      <c r="G140" s="294" t="str">
        <f>IF('Services - Base year'!G140="","",'Services - Base year'!G140)</f>
        <v/>
      </c>
      <c r="H140" s="102"/>
      <c r="I140" s="31"/>
    </row>
    <row r="141" spans="3:9" ht="19.5" customHeight="1" x14ac:dyDescent="0.2">
      <c r="C141" s="13"/>
      <c r="D141" s="85">
        <f t="shared" si="1"/>
        <v>132</v>
      </c>
      <c r="E141" s="178" t="str">
        <f>IF(OR('Services - Base year'!E141="",'Services - Base year'!E141="[Enter service]"),"",'Services - Base year'!E141)</f>
        <v/>
      </c>
      <c r="F141" s="179" t="str">
        <f>IF(OR('Services - Base year'!F141="",'Services - Base year'!F141="[Select]"),"",'Services - Base year'!F141)</f>
        <v/>
      </c>
      <c r="G141" s="294" t="str">
        <f>IF('Services - Base year'!G141="","",'Services - Base year'!G141)</f>
        <v/>
      </c>
      <c r="H141" s="102"/>
      <c r="I141" s="31"/>
    </row>
    <row r="142" spans="3:9" ht="19.5" customHeight="1" x14ac:dyDescent="0.2">
      <c r="C142" s="13"/>
      <c r="D142" s="19">
        <f t="shared" si="1"/>
        <v>133</v>
      </c>
      <c r="E142" s="178" t="str">
        <f>IF(OR('Services - Base year'!E142="",'Services - Base year'!E142="[Enter service]"),"",'Services - Base year'!E142)</f>
        <v/>
      </c>
      <c r="F142" s="179" t="str">
        <f>IF(OR('Services - Base year'!F142="",'Services - Base year'!F142="[Select]"),"",'Services - Base year'!F142)</f>
        <v/>
      </c>
      <c r="G142" s="294" t="str">
        <f>IF('Services - Base year'!G142="","",'Services - Base year'!G142)</f>
        <v/>
      </c>
      <c r="H142" s="102"/>
      <c r="I142" s="31"/>
    </row>
    <row r="143" spans="3:9" ht="19.5" customHeight="1" x14ac:dyDescent="0.2">
      <c r="C143" s="13"/>
      <c r="D143" s="19">
        <f t="shared" ref="D143:D149" si="2">D142+1</f>
        <v>134</v>
      </c>
      <c r="E143" s="178" t="str">
        <f>IF(OR('Services - Base year'!E143="",'Services - Base year'!E143="[Enter service]"),"",'Services - Base year'!E143)</f>
        <v/>
      </c>
      <c r="F143" s="179" t="str">
        <f>IF(OR('Services - Base year'!F143="",'Services - Base year'!F143="[Select]"),"",'Services - Base year'!F143)</f>
        <v/>
      </c>
      <c r="G143" s="294" t="str">
        <f>IF('Services - Base year'!G143="","",'Services - Base year'!G143)</f>
        <v/>
      </c>
      <c r="H143" s="102"/>
      <c r="I143" s="31"/>
    </row>
    <row r="144" spans="3:9" ht="19.5" customHeight="1" x14ac:dyDescent="0.2">
      <c r="C144" s="13"/>
      <c r="D144" s="85">
        <f t="shared" si="2"/>
        <v>135</v>
      </c>
      <c r="E144" s="178" t="str">
        <f>IF(OR('Services - Base year'!E144="",'Services - Base year'!E144="[Enter service]"),"",'Services - Base year'!E144)</f>
        <v/>
      </c>
      <c r="F144" s="179" t="str">
        <f>IF(OR('Services - Base year'!F144="",'Services - Base year'!F144="[Select]"),"",'Services - Base year'!F144)</f>
        <v/>
      </c>
      <c r="G144" s="294" t="str">
        <f>IF('Services - Base year'!G144="","",'Services - Base year'!G144)</f>
        <v/>
      </c>
      <c r="H144" s="102"/>
      <c r="I144" s="31"/>
    </row>
    <row r="145" spans="3:9" ht="19.5" customHeight="1" x14ac:dyDescent="0.2">
      <c r="C145" s="13"/>
      <c r="D145" s="19">
        <f t="shared" si="2"/>
        <v>136</v>
      </c>
      <c r="E145" s="178" t="str">
        <f>IF(OR('Services - Base year'!E145="",'Services - Base year'!E145="[Enter service]"),"",'Services - Base year'!E145)</f>
        <v/>
      </c>
      <c r="F145" s="179" t="str">
        <f>IF(OR('Services - Base year'!F145="",'Services - Base year'!F145="[Select]"),"",'Services - Base year'!F145)</f>
        <v/>
      </c>
      <c r="G145" s="294" t="str">
        <f>IF('Services - Base year'!G145="","",'Services - Base year'!G145)</f>
        <v/>
      </c>
      <c r="H145" s="102"/>
      <c r="I145" s="31"/>
    </row>
    <row r="146" spans="3:9" ht="19.5" customHeight="1" x14ac:dyDescent="0.2">
      <c r="C146" s="13"/>
      <c r="D146" s="19">
        <f t="shared" si="2"/>
        <v>137</v>
      </c>
      <c r="E146" s="178" t="str">
        <f>IF(OR('Services - Base year'!E146="",'Services - Base year'!E146="[Enter service]"),"",'Services - Base year'!E146)</f>
        <v/>
      </c>
      <c r="F146" s="179" t="str">
        <f>IF(OR('Services - Base year'!F146="",'Services - Base year'!F146="[Select]"),"",'Services - Base year'!F146)</f>
        <v/>
      </c>
      <c r="G146" s="294" t="str">
        <f>IF('Services - Base year'!G146="","",'Services - Base year'!G146)</f>
        <v/>
      </c>
      <c r="H146" s="102"/>
      <c r="I146" s="31"/>
    </row>
    <row r="147" spans="3:9" ht="19.5" customHeight="1" x14ac:dyDescent="0.2">
      <c r="C147" s="13"/>
      <c r="D147" s="85">
        <f t="shared" si="2"/>
        <v>138</v>
      </c>
      <c r="E147" s="178" t="str">
        <f>IF(OR('Services - Base year'!E147="",'Services - Base year'!E147="[Enter service]"),"",'Services - Base year'!E147)</f>
        <v/>
      </c>
      <c r="F147" s="179" t="str">
        <f>IF(OR('Services - Base year'!F147="",'Services - Base year'!F147="[Select]"),"",'Services - Base year'!F147)</f>
        <v/>
      </c>
      <c r="G147" s="294" t="str">
        <f>IF('Services - Base year'!G147="","",'Services - Base year'!G147)</f>
        <v/>
      </c>
      <c r="H147" s="102"/>
      <c r="I147" s="31"/>
    </row>
    <row r="148" spans="3:9" ht="19.5" customHeight="1" x14ac:dyDescent="0.2">
      <c r="C148" s="13"/>
      <c r="D148" s="19">
        <f t="shared" si="2"/>
        <v>139</v>
      </c>
      <c r="E148" s="178" t="str">
        <f>IF(OR('Services - Base year'!E148="",'Services - Base year'!E148="[Enter service]"),"",'Services - Base year'!E148)</f>
        <v/>
      </c>
      <c r="F148" s="179" t="str">
        <f>IF(OR('Services - Base year'!F148="",'Services - Base year'!F148="[Select]"),"",'Services - Base year'!F148)</f>
        <v/>
      </c>
      <c r="G148" s="294" t="str">
        <f>IF('Services - Base year'!G148="","",'Services - Base year'!G148)</f>
        <v/>
      </c>
      <c r="H148" s="102"/>
      <c r="I148" s="31"/>
    </row>
    <row r="149" spans="3:9" ht="19.5" customHeight="1" x14ac:dyDescent="0.2">
      <c r="C149" s="13"/>
      <c r="D149" s="19">
        <f t="shared" si="2"/>
        <v>140</v>
      </c>
      <c r="E149" s="290" t="str">
        <f>IF(OR('Services - Base year'!E149="",'Services - Base year'!E149="[Enter service]"),"",'Services - Base year'!E149)</f>
        <v/>
      </c>
      <c r="F149" s="291" t="str">
        <f>IF(OR('Services - Base year'!F149="",'Services - Base year'!F149="[Select]"),"",'Services - Base year'!F149)</f>
        <v/>
      </c>
      <c r="G149" s="294" t="str">
        <f>IF('Services - Base year'!G149="","",'Services - Base year'!G149)</f>
        <v/>
      </c>
      <c r="H149" s="102"/>
      <c r="I149" s="31"/>
    </row>
    <row r="150" spans="3:9" ht="12.6" customHeight="1" thickBot="1" x14ac:dyDescent="0.25">
      <c r="C150" s="32"/>
      <c r="D150" s="33"/>
      <c r="E150" s="82"/>
      <c r="F150" s="56"/>
      <c r="G150" s="90"/>
      <c r="H150" s="91">
        <f>SUM(H10:H149)</f>
        <v>0</v>
      </c>
      <c r="I150" s="48"/>
    </row>
    <row r="151" spans="3:9" x14ac:dyDescent="0.2">
      <c r="H151" s="59"/>
    </row>
    <row r="170" spans="1:9" s="52" customFormat="1" ht="12.75" hidden="1" customHeight="1" x14ac:dyDescent="0.2">
      <c r="A170" s="6"/>
      <c r="B170" s="6"/>
      <c r="C170" s="6"/>
      <c r="D170" s="6"/>
      <c r="E170" s="79" t="s">
        <v>86</v>
      </c>
      <c r="G170" s="88"/>
      <c r="I170" s="6"/>
    </row>
    <row r="171" spans="1:9" s="52" customFormat="1" ht="12.75" hidden="1" customHeight="1" x14ac:dyDescent="0.2">
      <c r="A171" s="6"/>
      <c r="B171" s="6"/>
      <c r="C171" s="6"/>
      <c r="D171" s="6"/>
      <c r="E171" s="79" t="s">
        <v>84</v>
      </c>
      <c r="G171" s="88"/>
      <c r="I171" s="6"/>
    </row>
    <row r="172" spans="1:9" s="52" customFormat="1" ht="12.75" hidden="1" customHeight="1" x14ac:dyDescent="0.2">
      <c r="A172" s="6"/>
      <c r="B172" s="6"/>
      <c r="C172" s="6"/>
      <c r="D172" s="6"/>
      <c r="E172" s="79" t="s">
        <v>85</v>
      </c>
      <c r="G172" s="88"/>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zoomScale="80" zoomScaleNormal="80" zoomScalePageLayoutView="80" workbookViewId="0">
      <pane xSplit="5" ySplit="9" topLeftCell="N143" activePane="bottomRight" state="frozen"/>
      <selection activeCell="F52" sqref="F52:H56"/>
      <selection pane="topRight" activeCell="F52" sqref="F52:H56"/>
      <selection pane="bottomLeft" activeCell="F52" sqref="F52:H56"/>
      <selection pane="bottomRight" activeCell="AH143" sqref="AH143"/>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456</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Queenscliffe (B)</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64"/>
      <c r="C4" s="764"/>
      <c r="D4" s="764"/>
      <c r="E4" s="764"/>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320"/>
      <c r="P5" s="10"/>
      <c r="Q5" s="10"/>
      <c r="R5" s="320"/>
      <c r="S5" s="320"/>
      <c r="T5" s="320"/>
      <c r="U5" s="10"/>
      <c r="V5" s="10"/>
      <c r="W5" s="12"/>
      <c r="Y5" s="22"/>
      <c r="Z5" s="22"/>
      <c r="AA5" s="22"/>
      <c r="AB5" s="22"/>
      <c r="AC5" s="22"/>
    </row>
    <row r="6" spans="1:29" x14ac:dyDescent="0.2">
      <c r="A6" s="6"/>
      <c r="B6" s="6"/>
      <c r="C6" s="13"/>
      <c r="D6" s="18"/>
      <c r="E6" s="46"/>
      <c r="H6" s="768" t="str">
        <f>' Instructions'!C9</f>
        <v>2016-17</v>
      </c>
      <c r="I6" s="769"/>
      <c r="J6" s="769"/>
      <c r="K6" s="769"/>
      <c r="L6" s="769"/>
      <c r="M6" s="769"/>
      <c r="N6" s="769"/>
      <c r="O6" s="770"/>
      <c r="P6" s="769"/>
      <c r="Q6" s="769"/>
      <c r="R6" s="770"/>
      <c r="S6" s="770"/>
      <c r="T6" s="770"/>
      <c r="U6" s="769"/>
      <c r="V6" s="771"/>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7"/>
      <c r="F8" s="772" t="s">
        <v>113</v>
      </c>
      <c r="G8" s="15"/>
      <c r="H8" s="773" t="s">
        <v>73</v>
      </c>
      <c r="I8" s="775" t="s">
        <v>74</v>
      </c>
      <c r="J8" s="775" t="s">
        <v>75</v>
      </c>
      <c r="K8" s="775"/>
      <c r="L8" s="775"/>
      <c r="M8" s="775"/>
      <c r="N8" s="775" t="s">
        <v>76</v>
      </c>
      <c r="O8" s="776"/>
      <c r="P8" s="775"/>
      <c r="Q8" s="773" t="s">
        <v>77</v>
      </c>
      <c r="R8" s="773" t="s">
        <v>336</v>
      </c>
      <c r="S8" s="773" t="s">
        <v>335</v>
      </c>
      <c r="T8" s="773" t="s">
        <v>337</v>
      </c>
      <c r="U8" s="773" t="s">
        <v>159</v>
      </c>
      <c r="V8" s="777" t="s">
        <v>78</v>
      </c>
      <c r="W8" s="20"/>
      <c r="X8" s="21"/>
      <c r="Y8" s="21"/>
      <c r="Z8" s="21"/>
    </row>
    <row r="9" spans="1:29" ht="30" customHeight="1" x14ac:dyDescent="0.2">
      <c r="A9" s="6"/>
      <c r="B9" s="6"/>
      <c r="C9" s="13"/>
      <c r="D9" s="19"/>
      <c r="E9" s="98" t="s">
        <v>92</v>
      </c>
      <c r="F9" s="772"/>
      <c r="G9" s="15"/>
      <c r="H9" s="774"/>
      <c r="I9" s="775"/>
      <c r="J9" s="235" t="s">
        <v>453</v>
      </c>
      <c r="K9" s="235" t="s">
        <v>454</v>
      </c>
      <c r="L9" s="235" t="s">
        <v>342</v>
      </c>
      <c r="M9" s="235" t="s">
        <v>331</v>
      </c>
      <c r="N9" s="235" t="s">
        <v>333</v>
      </c>
      <c r="O9" s="396" t="s">
        <v>332</v>
      </c>
      <c r="P9" s="235" t="s">
        <v>334</v>
      </c>
      <c r="Q9" s="774"/>
      <c r="R9" s="774"/>
      <c r="S9" s="774"/>
      <c r="T9" s="774"/>
      <c r="U9" s="774"/>
      <c r="V9" s="777"/>
      <c r="W9" s="17"/>
      <c r="X9" s="22"/>
      <c r="Y9" s="22"/>
      <c r="Z9" s="22"/>
    </row>
    <row r="10" spans="1:29" ht="15.75" customHeight="1" x14ac:dyDescent="0.2">
      <c r="A10" s="6"/>
      <c r="B10" s="6"/>
      <c r="C10" s="13"/>
      <c r="D10" s="19"/>
      <c r="E10" s="248"/>
      <c r="F10" s="150"/>
      <c r="G10" s="15"/>
      <c r="H10" s="150" t="s">
        <v>165</v>
      </c>
      <c r="I10" s="150" t="s">
        <v>165</v>
      </c>
      <c r="J10" s="150" t="s">
        <v>165</v>
      </c>
      <c r="K10" s="150" t="s">
        <v>165</v>
      </c>
      <c r="L10" s="150" t="s">
        <v>165</v>
      </c>
      <c r="M10" s="150" t="s">
        <v>165</v>
      </c>
      <c r="N10" s="150" t="s">
        <v>165</v>
      </c>
      <c r="O10" s="150" t="s">
        <v>165</v>
      </c>
      <c r="P10" s="150" t="s">
        <v>165</v>
      </c>
      <c r="Q10" s="150" t="s">
        <v>165</v>
      </c>
      <c r="R10" s="150" t="s">
        <v>165</v>
      </c>
      <c r="S10" s="150" t="s">
        <v>165</v>
      </c>
      <c r="T10" s="150" t="s">
        <v>165</v>
      </c>
      <c r="U10" s="150" t="s">
        <v>165</v>
      </c>
      <c r="V10" s="150"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7" t="str">
        <f>IF(OR('Services - Base year'!E10="",'Services - Base year'!E10="[Enter service]"),"",'Services - Base year'!E10)</f>
        <v>Aged Services</v>
      </c>
      <c r="F12" s="68" t="str">
        <f>IF(OR('Services - Base year'!F10="",'Services - Base year'!F10="[Select]"),"",'Services - Base year'!F10)</f>
        <v>External</v>
      </c>
      <c r="G12" s="15"/>
      <c r="H12" s="236"/>
      <c r="I12" s="236">
        <f>-GETPIVOTDATA("Sum of 2016/17",'[4]ESC User Fees'!$A$3,"Stat of Inc &amp; Exp (Available Cash)","User fees and charges","Strategic Objectives (KSAs)","SO1 - 01 - Aged and Disability Services - Inc")</f>
        <v>85500</v>
      </c>
      <c r="J12" s="236">
        <f>-GETPIVOTDATA("Sum of 2016/17",'[4]ESC Grants Op'!$A$3,"Stat of Inc &amp; Exp (Available Cash)","Grants - operating","Strategic Objectives (KSAs)","SO1 - 01 - Aged and Disability Services - Inc")</f>
        <v>417384.35</v>
      </c>
      <c r="K12" s="236"/>
      <c r="L12" s="236"/>
      <c r="M12" s="236"/>
      <c r="N12" s="236"/>
      <c r="O12" s="236"/>
      <c r="P12" s="236"/>
      <c r="Q12" s="236"/>
      <c r="R12" s="236"/>
      <c r="S12" s="236"/>
      <c r="T12" s="237"/>
      <c r="U12" s="238"/>
      <c r="V12" s="70">
        <f t="shared" ref="V12:V43" si="0">SUM(H12:U12)</f>
        <v>502884.35</v>
      </c>
      <c r="W12" s="17"/>
    </row>
    <row r="13" spans="1:29" ht="12" customHeight="1" x14ac:dyDescent="0.2">
      <c r="A13" s="6"/>
      <c r="B13" s="6"/>
      <c r="C13" s="13"/>
      <c r="D13" s="19">
        <f>D12+1</f>
        <v>2</v>
      </c>
      <c r="E13" s="67" t="str">
        <f>IF(OR('Services - Base year'!E11="",'Services - Base year'!E11="[Enter service]"),"",'Services - Base year'!E11)</f>
        <v>Active Communities</v>
      </c>
      <c r="F13" s="68" t="str">
        <f>IF(OR('Services - Base year'!F11="",'Services - Base year'!F11="[Select]"),"",'Services - Base year'!F11)</f>
        <v>External</v>
      </c>
      <c r="G13" s="15"/>
      <c r="H13" s="239"/>
      <c r="I13" s="239"/>
      <c r="J13" s="239">
        <f>-GETPIVOTDATA("Sum of 2016/17",'[4]ESC Grants Op'!$A$3,"Stat of Inc &amp; Exp (Available Cash)","Grants - operating","Strategic Objectives (KSAs)","SO1 - 02 - Active Communities - Inc")</f>
        <v>2600</v>
      </c>
      <c r="K13" s="239"/>
      <c r="L13" s="239"/>
      <c r="M13" s="239"/>
      <c r="N13" s="239"/>
      <c r="O13" s="239"/>
      <c r="P13" s="239"/>
      <c r="Q13" s="239"/>
      <c r="R13" s="239"/>
      <c r="S13" s="239"/>
      <c r="T13" s="240"/>
      <c r="U13" s="241"/>
      <c r="V13" s="74">
        <f t="shared" si="0"/>
        <v>2600</v>
      </c>
      <c r="W13" s="17"/>
    </row>
    <row r="14" spans="1:29" ht="12" customHeight="1" x14ac:dyDescent="0.2">
      <c r="A14" s="6"/>
      <c r="B14" s="6"/>
      <c r="C14" s="13"/>
      <c r="D14" s="19">
        <f t="shared" ref="D14:D77" si="1">D13+1</f>
        <v>3</v>
      </c>
      <c r="E14" s="67" t="str">
        <f>IF(OR('Services - Base year'!E12="",'Services - Base year'!E12="[Enter service]"),"",'Services - Base year'!E12)</f>
        <v>Community Events</v>
      </c>
      <c r="F14" s="68" t="str">
        <f>IF(OR('Services - Base year'!F12="",'Services - Base year'!F12="[Select]"),"",'Services - Base year'!F12)</f>
        <v>External</v>
      </c>
      <c r="G14" s="15"/>
      <c r="H14" s="239"/>
      <c r="I14" s="239">
        <f>-GETPIVOTDATA("Sum of 2016/17",'[4]ESC User Fees'!$A$3,"Stat of Inc &amp; Exp (Available Cash)","User fees and charges","Strategic Objectives (KSAs)","SO1 - 03 - Community Events - Inc")</f>
        <v>-45.45</v>
      </c>
      <c r="J14" s="239"/>
      <c r="K14" s="239"/>
      <c r="L14" s="239"/>
      <c r="M14" s="239"/>
      <c r="N14" s="239"/>
      <c r="O14" s="239"/>
      <c r="P14" s="239"/>
      <c r="Q14" s="239"/>
      <c r="R14" s="239"/>
      <c r="S14" s="239"/>
      <c r="T14" s="240"/>
      <c r="U14" s="241"/>
      <c r="V14" s="74">
        <f t="shared" si="0"/>
        <v>-45.45</v>
      </c>
      <c r="W14" s="17"/>
    </row>
    <row r="15" spans="1:29" ht="12" customHeight="1" x14ac:dyDescent="0.2">
      <c r="A15" s="6"/>
      <c r="B15" s="6"/>
      <c r="C15" s="13"/>
      <c r="D15" s="19">
        <f t="shared" si="1"/>
        <v>4</v>
      </c>
      <c r="E15" s="67" t="str">
        <f>IF(OR('Services - Base year'!E13="",'Services - Base year'!E13="[Enter service]"),"",'Services - Base year'!E13)</f>
        <v>Maternal and Child Health (MCH)</v>
      </c>
      <c r="F15" s="68" t="str">
        <f>IF(OR('Services - Base year'!F13="",'Services - Base year'!F13="[Select]"),"",'Services - Base year'!F13)</f>
        <v>External</v>
      </c>
      <c r="G15" s="15"/>
      <c r="H15" s="239"/>
      <c r="I15" s="239"/>
      <c r="J15" s="239">
        <f>-GETPIVOTDATA("Sum of 2016/17",'[4]ESC Grants Op'!$A$3,"Stat of Inc &amp; Exp (Available Cash)","Grants - operating","Strategic Objectives (KSAs)","SO1 - 04 - Maternal and Child Health (MCH) Inc")</f>
        <v>40400</v>
      </c>
      <c r="K15" s="239"/>
      <c r="L15" s="239"/>
      <c r="M15" s="239"/>
      <c r="N15" s="239"/>
      <c r="O15" s="239"/>
      <c r="P15" s="239"/>
      <c r="Q15" s="239"/>
      <c r="R15" s="239"/>
      <c r="S15" s="239"/>
      <c r="T15" s="240"/>
      <c r="U15" s="241"/>
      <c r="V15" s="74">
        <f t="shared" si="0"/>
        <v>40400</v>
      </c>
      <c r="W15" s="17"/>
    </row>
    <row r="16" spans="1:29" ht="12" customHeight="1" x14ac:dyDescent="0.2">
      <c r="A16" s="6"/>
      <c r="B16" s="6"/>
      <c r="C16" s="13"/>
      <c r="D16" s="19">
        <f t="shared" si="1"/>
        <v>5</v>
      </c>
      <c r="E16" s="67" t="str">
        <f>IF(OR('Services - Base year'!E14="",'Services - Base year'!E14="[Enter service]"),"",'Services - Base year'!E14)</f>
        <v>Kindergarten</v>
      </c>
      <c r="F16" s="68" t="str">
        <f>IF(OR('Services - Base year'!F14="",'Services - Base year'!F14="[Select]"),"",'Services - Base year'!F14)</f>
        <v>External</v>
      </c>
      <c r="G16" s="15"/>
      <c r="H16" s="239"/>
      <c r="I16" s="239"/>
      <c r="J16" s="239"/>
      <c r="K16" s="239"/>
      <c r="L16" s="239"/>
      <c r="M16" s="239"/>
      <c r="N16" s="239"/>
      <c r="O16" s="239"/>
      <c r="P16" s="239"/>
      <c r="Q16" s="239"/>
      <c r="R16" s="239"/>
      <c r="S16" s="239"/>
      <c r="T16" s="240"/>
      <c r="U16" s="241"/>
      <c r="V16" s="74">
        <f t="shared" si="0"/>
        <v>0</v>
      </c>
      <c r="W16" s="17"/>
    </row>
    <row r="17" spans="1:23" ht="12" customHeight="1" x14ac:dyDescent="0.2">
      <c r="A17" s="6"/>
      <c r="B17" s="6"/>
      <c r="C17" s="13"/>
      <c r="D17" s="19">
        <f t="shared" si="1"/>
        <v>6</v>
      </c>
      <c r="E17" s="67" t="str">
        <f>IF(OR('Services - Base year'!E15="",'Services - Base year'!E15="[Enter service]"),"",'Services - Base year'!E15)</f>
        <v>Environmental Health</v>
      </c>
      <c r="F17" s="68" t="str">
        <f>IF(OR('Services - Base year'!F15="",'Services - Base year'!F15="[Select]"),"",'Services - Base year'!F15)</f>
        <v>External</v>
      </c>
      <c r="G17" s="15"/>
      <c r="H17" s="239"/>
      <c r="I17" s="239">
        <f>-GETPIVOTDATA("Sum of 2016/17",'[4]ESC User Fees'!$A$3,"Stat of Inc &amp; Exp (Available Cash)","User fees and charges","Strategic Objectives (KSAs)","SO1 - 06 - Environmental Health Inc")</f>
        <v>32075</v>
      </c>
      <c r="J17" s="239"/>
      <c r="K17" s="239"/>
      <c r="L17" s="239"/>
      <c r="M17" s="239"/>
      <c r="N17" s="239"/>
      <c r="O17" s="239"/>
      <c r="P17" s="239"/>
      <c r="Q17" s="239"/>
      <c r="R17" s="239"/>
      <c r="S17" s="239"/>
      <c r="T17" s="240"/>
      <c r="U17" s="241"/>
      <c r="V17" s="74">
        <f t="shared" si="0"/>
        <v>32075</v>
      </c>
      <c r="W17" s="17"/>
    </row>
    <row r="18" spans="1:23" ht="12" customHeight="1" x14ac:dyDescent="0.2">
      <c r="A18" s="6"/>
      <c r="B18" s="6"/>
      <c r="C18" s="13"/>
      <c r="D18" s="19">
        <f t="shared" si="1"/>
        <v>7</v>
      </c>
      <c r="E18" s="67" t="str">
        <f>IF(OR('Services - Base year'!E16="",'Services - Base year'!E16="[Enter service]"),"",'Services - Base year'!E16)</f>
        <v>Asset Management and Appearance of Public Places</v>
      </c>
      <c r="F18" s="68" t="str">
        <f>IF(OR('Services - Base year'!F16="",'Services - Base year'!F16="[Select]"),"",'Services - Base year'!F16)</f>
        <v>External</v>
      </c>
      <c r="G18" s="15"/>
      <c r="H18" s="239"/>
      <c r="I18" s="239">
        <f>-GETPIVOTDATA("Sum of 2016/17",'[4]ESC User Fees'!$A$3,"Stat of Inc &amp; Exp (Available Cash)","User fees and charges","Strategic Objectives (KSAs)","SO1 - 07 - Asset Management and Appearance of Public Places - Inc")</f>
        <v>6048.25</v>
      </c>
      <c r="J18" s="239">
        <f>-GETPIVOTDATA("Sum of 2016/17",'[4]ESC Grants Op'!$A$3,"Stat of Inc &amp; Exp (Available Cash)","Grants - operating","Strategic Objectives (KSAs)","SO1 - 07 - Asset Management and Appearance of Public Places - Inc")</f>
        <v>54210</v>
      </c>
      <c r="K18" s="239"/>
      <c r="L18" s="239"/>
      <c r="M18" s="239"/>
      <c r="N18" s="239"/>
      <c r="O18" s="239"/>
      <c r="P18" s="239"/>
      <c r="Q18" s="239"/>
      <c r="R18" s="239"/>
      <c r="S18" s="239"/>
      <c r="T18" s="240"/>
      <c r="U18" s="241"/>
      <c r="V18" s="74">
        <f t="shared" si="0"/>
        <v>60258.25</v>
      </c>
      <c r="W18" s="17"/>
    </row>
    <row r="19" spans="1:23" ht="12" customHeight="1" x14ac:dyDescent="0.2">
      <c r="A19" s="6"/>
      <c r="B19" s="6"/>
      <c r="C19" s="13"/>
      <c r="D19" s="19">
        <f t="shared" si="1"/>
        <v>8</v>
      </c>
      <c r="E19" s="67" t="str">
        <f>IF(OR('Services - Base year'!E17="",'Services - Base year'!E17="[Enter service]"),"",'Services - Base year'!E17)</f>
        <v>Local Laws, Safety and Amenity</v>
      </c>
      <c r="F19" s="68" t="str">
        <f>IF(OR('Services - Base year'!F17="",'Services - Base year'!F17="[Select]"),"",'Services - Base year'!F17)</f>
        <v>External</v>
      </c>
      <c r="G19" s="15"/>
      <c r="H19" s="239">
        <f>-GETPIVOTDATA("Sum of 2016/17",'[4]ESC Stat Fees'!$A$3,"Stat of Inc &amp; Exp (Available Cash)","Statutory fees and fines","Strategic Objectives (KSAs)","SO1 - 08 - Local Laws, Safety and Amenity - Inc")</f>
        <v>29044</v>
      </c>
      <c r="I19" s="239">
        <f>-GETPIVOTDATA("Sum of 2016/17",'[4]ESC User Fees'!$A$3,"Stat of Inc &amp; Exp (Available Cash)","User fees and charges","Strategic Objectives (KSAs)","SO1 - 08 - Local Laws, Safety and Amenity - Inc")</f>
        <v>21000</v>
      </c>
      <c r="J19" s="239">
        <f>-GETPIVOTDATA("Sum of 2016/17",'[4]ESC Grants Op'!$A$3,"Stat of Inc &amp; Exp (Available Cash)","Grants - operating","Strategic Objectives (KSAs)","SO1 - 08 - Local Laws, Safety and Amenity - Inc")</f>
        <v>16800</v>
      </c>
      <c r="K19" s="239"/>
      <c r="L19" s="239"/>
      <c r="M19" s="239"/>
      <c r="N19" s="239"/>
      <c r="O19" s="239"/>
      <c r="P19" s="239"/>
      <c r="Q19" s="239"/>
      <c r="R19" s="239"/>
      <c r="S19" s="239"/>
      <c r="T19" s="240"/>
      <c r="U19" s="241"/>
      <c r="V19" s="74">
        <f t="shared" si="0"/>
        <v>66844</v>
      </c>
      <c r="W19" s="17"/>
    </row>
    <row r="20" spans="1:23" ht="12" customHeight="1" x14ac:dyDescent="0.2">
      <c r="A20" s="6"/>
      <c r="B20" s="6"/>
      <c r="C20" s="13"/>
      <c r="D20" s="19">
        <f t="shared" si="1"/>
        <v>9</v>
      </c>
      <c r="E20" s="67" t="str">
        <f>IF(OR('Services - Base year'!E18="",'Services - Base year'!E18="[Enter service]"),"",'Services - Base year'!E18)</f>
        <v>Street Lighting</v>
      </c>
      <c r="F20" s="68" t="str">
        <f>IF(OR('Services - Base year'!F18="",'Services - Base year'!F18="[Select]"),"",'Services - Base year'!F18)</f>
        <v>External</v>
      </c>
      <c r="G20" s="15"/>
      <c r="H20" s="239"/>
      <c r="I20" s="239"/>
      <c r="J20" s="239"/>
      <c r="K20" s="239"/>
      <c r="L20" s="239"/>
      <c r="M20" s="239"/>
      <c r="N20" s="239"/>
      <c r="O20" s="239"/>
      <c r="P20" s="239"/>
      <c r="Q20" s="239"/>
      <c r="R20" s="239"/>
      <c r="S20" s="239"/>
      <c r="T20" s="240"/>
      <c r="U20" s="241"/>
      <c r="V20" s="74">
        <f t="shared" si="0"/>
        <v>0</v>
      </c>
      <c r="W20" s="17"/>
    </row>
    <row r="21" spans="1:23" ht="12" customHeight="1" x14ac:dyDescent="0.2">
      <c r="A21" s="6"/>
      <c r="B21" s="6"/>
      <c r="C21" s="13"/>
      <c r="D21" s="19">
        <f t="shared" si="1"/>
        <v>10</v>
      </c>
      <c r="E21" s="67" t="str">
        <f>IF(OR('Services - Base year'!E19="",'Services - Base year'!E19="[Enter service]"),"",'Services - Base year'!E19)</f>
        <v>Powerline Safety</v>
      </c>
      <c r="F21" s="68" t="str">
        <f>IF(OR('Services - Base year'!F19="",'Services - Base year'!F19="[Select]"),"",'Services - Base year'!F19)</f>
        <v>External</v>
      </c>
      <c r="G21" s="15"/>
      <c r="H21" s="239"/>
      <c r="I21" s="239"/>
      <c r="J21" s="239"/>
      <c r="K21" s="239"/>
      <c r="L21" s="239"/>
      <c r="M21" s="239"/>
      <c r="N21" s="239"/>
      <c r="O21" s="239"/>
      <c r="P21" s="239"/>
      <c r="Q21" s="239"/>
      <c r="R21" s="239"/>
      <c r="S21" s="239"/>
      <c r="T21" s="240"/>
      <c r="U21" s="241"/>
      <c r="V21" s="74">
        <f t="shared" si="0"/>
        <v>0</v>
      </c>
      <c r="W21" s="17"/>
    </row>
    <row r="22" spans="1:23" ht="12" customHeight="1" x14ac:dyDescent="0.2">
      <c r="A22" s="6"/>
      <c r="B22" s="6"/>
      <c r="C22" s="13"/>
      <c r="D22" s="19">
        <f t="shared" si="1"/>
        <v>11</v>
      </c>
      <c r="E22" s="67" t="str">
        <f>IF(OR('Services - Base year'!E20="",'Services - Base year'!E20="[Enter service]"),"",'Services - Base year'!E20)</f>
        <v>Library</v>
      </c>
      <c r="F22" s="68" t="str">
        <f>IF(OR('Services - Base year'!F20="",'Services - Base year'!F20="[Select]"),"",'Services - Base year'!F20)</f>
        <v>External</v>
      </c>
      <c r="G22" s="15"/>
      <c r="H22" s="239"/>
      <c r="I22" s="239"/>
      <c r="J22" s="239"/>
      <c r="K22" s="239"/>
      <c r="L22" s="239"/>
      <c r="M22" s="239"/>
      <c r="N22" s="239"/>
      <c r="O22" s="239"/>
      <c r="P22" s="239"/>
      <c r="Q22" s="239"/>
      <c r="R22" s="239"/>
      <c r="S22" s="239"/>
      <c r="T22" s="240"/>
      <c r="U22" s="241"/>
      <c r="V22" s="74">
        <f t="shared" si="0"/>
        <v>0</v>
      </c>
      <c r="W22" s="17"/>
    </row>
    <row r="23" spans="1:23" ht="12" customHeight="1" x14ac:dyDescent="0.2">
      <c r="A23" s="6"/>
      <c r="B23" s="6"/>
      <c r="C23" s="13"/>
      <c r="D23" s="19">
        <f t="shared" si="1"/>
        <v>12</v>
      </c>
      <c r="E23" s="67" t="str">
        <f>IF(OR('Services - Base year'!E21="",'Services - Base year'!E21="[Enter service]"),"",'Services - Base year'!E21)</f>
        <v>Recreation, Arts and Culture</v>
      </c>
      <c r="F23" s="68" t="str">
        <f>IF(OR('Services - Base year'!F21="",'Services - Base year'!F21="[Select]"),"",'Services - Base year'!F21)</f>
        <v>External</v>
      </c>
      <c r="G23" s="15"/>
      <c r="H23" s="239"/>
      <c r="I23" s="239"/>
      <c r="J23" s="239"/>
      <c r="K23" s="239"/>
      <c r="L23" s="239"/>
      <c r="M23" s="239"/>
      <c r="N23" s="239"/>
      <c r="O23" s="239"/>
      <c r="P23" s="239"/>
      <c r="Q23" s="239"/>
      <c r="R23" s="239"/>
      <c r="S23" s="239"/>
      <c r="T23" s="240"/>
      <c r="U23" s="241"/>
      <c r="V23" s="74">
        <f t="shared" si="0"/>
        <v>0</v>
      </c>
      <c r="W23" s="17"/>
    </row>
    <row r="24" spans="1:23" ht="12" customHeight="1" x14ac:dyDescent="0.2">
      <c r="A24" s="6"/>
      <c r="B24" s="6"/>
      <c r="C24" s="13"/>
      <c r="D24" s="19">
        <f t="shared" si="1"/>
        <v>13</v>
      </c>
      <c r="E24" s="67" t="str">
        <f>IF(OR('Services - Base year'!E22="",'Services - Base year'!E22="[Enter service]"),"",'Services - Base year'!E22)</f>
        <v>Environmental Sustainability</v>
      </c>
      <c r="F24" s="68" t="str">
        <f>IF(OR('Services - Base year'!F22="",'Services - Base year'!F22="[Select]"),"",'Services - Base year'!F22)</f>
        <v>Mixed</v>
      </c>
      <c r="G24" s="15"/>
      <c r="H24" s="239"/>
      <c r="I24" s="239"/>
      <c r="J24" s="239">
        <f>-GETPIVOTDATA("Sum of 2016/17",'[4]ESC Grants Op'!$A$3,"Stat of Inc &amp; Exp (Available Cash)","Grants - operating","Strategic Objectives (KSAs)","SO2 - 01 - Environmental Sustainability - Inc")-K24</f>
        <v>0</v>
      </c>
      <c r="K24" s="239">
        <f>-SUM('[5]5.1 Grants - operating'!$C$31:$C$32)</f>
        <v>8000</v>
      </c>
      <c r="L24" s="239"/>
      <c r="M24" s="239"/>
      <c r="N24" s="239"/>
      <c r="O24" s="239"/>
      <c r="P24" s="239"/>
      <c r="Q24" s="239"/>
      <c r="R24" s="239"/>
      <c r="S24" s="239"/>
      <c r="T24" s="240"/>
      <c r="U24" s="241"/>
      <c r="V24" s="74">
        <f t="shared" si="0"/>
        <v>8000</v>
      </c>
      <c r="W24" s="17"/>
    </row>
    <row r="25" spans="1:23" ht="12" customHeight="1" x14ac:dyDescent="0.2">
      <c r="A25" s="6"/>
      <c r="B25" s="6"/>
      <c r="C25" s="13"/>
      <c r="D25" s="19">
        <f t="shared" si="1"/>
        <v>14</v>
      </c>
      <c r="E25" s="67" t="str">
        <f>IF(OR('Services - Base year'!E23="",'Services - Base year'!E23="[Enter service]"),"",'Services - Base year'!E23)</f>
        <v>Coastal Protection</v>
      </c>
      <c r="F25" s="68" t="str">
        <f>IF(OR('Services - Base year'!F23="",'Services - Base year'!F23="[Select]"),"",'Services - Base year'!F23)</f>
        <v>External</v>
      </c>
      <c r="G25" s="15"/>
      <c r="H25" s="239"/>
      <c r="I25" s="239"/>
      <c r="J25" s="239"/>
      <c r="K25" s="239"/>
      <c r="L25" s="239"/>
      <c r="M25" s="239"/>
      <c r="N25" s="239"/>
      <c r="O25" s="239"/>
      <c r="P25" s="239"/>
      <c r="Q25" s="239">
        <f>-GETPIVOTDATA("Sum of 2016/17",'[4]ESC Other Inc'!$A$3,"Stat of Inc &amp; Exp (Available Cash)","Other income","Strategic Objectives (KSAs)","SO2 - 02 - Coastal Protection - Inc")</f>
        <v>96937.340000000011</v>
      </c>
      <c r="R25" s="239"/>
      <c r="S25" s="239"/>
      <c r="T25" s="240"/>
      <c r="U25" s="241"/>
      <c r="V25" s="74">
        <f t="shared" si="0"/>
        <v>96937.340000000011</v>
      </c>
      <c r="W25" s="17"/>
    </row>
    <row r="26" spans="1:23" ht="12" customHeight="1" x14ac:dyDescent="0.2">
      <c r="A26" s="6"/>
      <c r="B26" s="6"/>
      <c r="C26" s="13"/>
      <c r="D26" s="19">
        <f t="shared" si="1"/>
        <v>15</v>
      </c>
      <c r="E26" s="67" t="str">
        <f>IF(OR('Services - Base year'!E24="",'Services - Base year'!E24="[Enter service]"),"",'Services - Base year'!E24)</f>
        <v>Waste Management and Recycling</v>
      </c>
      <c r="F26" s="68" t="str">
        <f>IF(OR('Services - Base year'!F24="",'Services - Base year'!F24="[Select]"),"",'Services - Base year'!F24)</f>
        <v>External</v>
      </c>
      <c r="G26" s="15"/>
      <c r="H26" s="239"/>
      <c r="I26" s="239">
        <f>-GETPIVOTDATA("Sum of 2016/17",'[4]ESC User Fees'!$A$3,"Stat of Inc &amp; Exp (Available Cash)","User fees and charges","Strategic Objectives (KSAs)","SO2 - 03 - Waste Management and Recycling - Inc")</f>
        <v>13300</v>
      </c>
      <c r="J26" s="239">
        <f>-GETPIVOTDATA("Sum of 2016/17",'[4]ESC Grants Op'!$A$3,"Stat of Inc &amp; Exp (Available Cash)","Grants - operating","Strategic Objectives (KSAs)","SO2 - 03 - Waste Management and Recycling - Inc")</f>
        <v>12700</v>
      </c>
      <c r="K26" s="239"/>
      <c r="L26" s="239"/>
      <c r="M26" s="239"/>
      <c r="N26" s="239"/>
      <c r="O26" s="239"/>
      <c r="P26" s="239"/>
      <c r="Q26" s="239"/>
      <c r="R26" s="239"/>
      <c r="S26" s="239"/>
      <c r="T26" s="240"/>
      <c r="U26" s="241"/>
      <c r="V26" s="74">
        <f t="shared" si="0"/>
        <v>26000</v>
      </c>
      <c r="W26" s="17"/>
    </row>
    <row r="27" spans="1:23" ht="12" customHeight="1" x14ac:dyDescent="0.2">
      <c r="A27" s="6"/>
      <c r="B27" s="6"/>
      <c r="C27" s="13"/>
      <c r="D27" s="19">
        <f t="shared" si="1"/>
        <v>16</v>
      </c>
      <c r="E27" s="67" t="str">
        <f>IF(OR('Services - Base year'!E25="",'Services - Base year'!E25="[Enter service]"),"",'Services - Base year'!E25)</f>
        <v>Tourist Parks and Boat Ramp Services</v>
      </c>
      <c r="F27" s="68" t="str">
        <f>IF(OR('Services - Base year'!F25="",'Services - Base year'!F25="[Select]"),"",'Services - Base year'!F25)</f>
        <v>External</v>
      </c>
      <c r="G27" s="15"/>
      <c r="H27" s="239"/>
      <c r="I27" s="239">
        <f>-GETPIVOTDATA("Sum of 2016/17",'[4]ESC User Fees'!$A$3,"Stat of Inc &amp; Exp (Available Cash)","User fees and charges","Strategic Objectives (KSAs)","SO3 - 01 - Tourist Parks and Boat Ramp Services - Inc")</f>
        <v>1823900</v>
      </c>
      <c r="J27" s="239"/>
      <c r="K27" s="239"/>
      <c r="L27" s="239"/>
      <c r="M27" s="239"/>
      <c r="N27" s="239"/>
      <c r="O27" s="239"/>
      <c r="P27" s="239"/>
      <c r="Q27" s="239"/>
      <c r="R27" s="239"/>
      <c r="S27" s="239"/>
      <c r="T27" s="240"/>
      <c r="U27" s="241"/>
      <c r="V27" s="74">
        <f t="shared" si="0"/>
        <v>1823900</v>
      </c>
      <c r="W27" s="17"/>
    </row>
    <row r="28" spans="1:23" ht="12" customHeight="1" x14ac:dyDescent="0.2">
      <c r="A28" s="6"/>
      <c r="B28" s="6"/>
      <c r="C28" s="13"/>
      <c r="D28" s="19">
        <f t="shared" si="1"/>
        <v>17</v>
      </c>
      <c r="E28" s="67" t="str">
        <f>IF(OR('Services - Base year'!E26="",'Services - Base year'!E26="[Enter service]"),"",'Services - Base year'!E26)</f>
        <v>Visitor Information Centre (VIC)</v>
      </c>
      <c r="F28" s="68" t="str">
        <f>IF(OR('Services - Base year'!F26="",'Services - Base year'!F26="[Select]"),"",'Services - Base year'!F26)</f>
        <v>External</v>
      </c>
      <c r="G28" s="15"/>
      <c r="H28" s="239"/>
      <c r="I28" s="239">
        <f>-GETPIVOTDATA("Sum of 2016/17",'[4]ESC User Fees'!$A$3,"Stat of Inc &amp; Exp (Available Cash)","User fees and charges","Strategic Objectives (KSAs)","SO3 - 02 - Visitor Information Centre (VIC) - Inc")</f>
        <v>12000</v>
      </c>
      <c r="J28" s="239"/>
      <c r="K28" s="239"/>
      <c r="L28" s="239"/>
      <c r="M28" s="239"/>
      <c r="N28" s="239"/>
      <c r="O28" s="239"/>
      <c r="P28" s="239"/>
      <c r="Q28" s="239"/>
      <c r="R28" s="239"/>
      <c r="S28" s="239"/>
      <c r="T28" s="240"/>
      <c r="U28" s="241"/>
      <c r="V28" s="74">
        <f t="shared" si="0"/>
        <v>12000</v>
      </c>
      <c r="W28" s="17"/>
    </row>
    <row r="29" spans="1:23" ht="12" customHeight="1" x14ac:dyDescent="0.2">
      <c r="A29" s="6"/>
      <c r="B29" s="6"/>
      <c r="C29" s="13"/>
      <c r="D29" s="19">
        <f t="shared" si="1"/>
        <v>18</v>
      </c>
      <c r="E29" s="67" t="str">
        <f>IF(OR('Services - Base year'!E27="",'Services - Base year'!E27="[Enter service]"),"",'Services - Base year'!E27)</f>
        <v>Tourism and Economic Development</v>
      </c>
      <c r="F29" s="68" t="str">
        <f>IF(OR('Services - Base year'!F27="",'Services - Base year'!F27="[Select]"),"",'Services - Base year'!F27)</f>
        <v>Mixed</v>
      </c>
      <c r="G29" s="15"/>
      <c r="H29" s="239"/>
      <c r="I29" s="239">
        <f>-GETPIVOTDATA("Sum of 2016/17",'[4]ESC User Fees'!$A$3,"Stat of Inc &amp; Exp (Available Cash)","User fees and charges","Strategic Objectives (KSAs)","SO3 - 03 - Tourism and Economic Development - Inc")</f>
        <v>500</v>
      </c>
      <c r="J29" s="239">
        <f>-GETPIVOTDATA("Sum of 2016/17",'[4]ESC Grants Op'!$A$3,"Stat of Inc &amp; Exp (Available Cash)","Grants - operating","Strategic Objectives (KSAs)","SO3 - 03 - Tourism and Economic Development - Inc")-K29</f>
        <v>0</v>
      </c>
      <c r="K29" s="239">
        <f>-SUM('[5]5.1 Grants - operating'!$C$25:$C$27)</f>
        <v>87500</v>
      </c>
      <c r="L29" s="239"/>
      <c r="M29" s="239"/>
      <c r="N29" s="239"/>
      <c r="O29" s="239"/>
      <c r="P29" s="239"/>
      <c r="Q29" s="239"/>
      <c r="R29" s="239"/>
      <c r="S29" s="239"/>
      <c r="T29" s="240"/>
      <c r="U29" s="241"/>
      <c r="V29" s="74">
        <f t="shared" si="0"/>
        <v>88000</v>
      </c>
      <c r="W29" s="17"/>
    </row>
    <row r="30" spans="1:23" ht="12" customHeight="1" x14ac:dyDescent="0.2">
      <c r="A30" s="6"/>
      <c r="B30" s="6"/>
      <c r="C30" s="13"/>
      <c r="D30" s="19">
        <f t="shared" si="1"/>
        <v>19</v>
      </c>
      <c r="E30" s="67" t="str">
        <f>IF(OR('Services - Base year'!E28="",'Services - Base year'!E28="[Enter service]"),"",'Services - Base year'!E28)</f>
        <v>Design and Project Management</v>
      </c>
      <c r="F30" s="68" t="str">
        <f>IF(OR('Services - Base year'!F28="",'Services - Base year'!F28="[Select]"),"",'Services - Base year'!F28)</f>
        <v>Mixed</v>
      </c>
      <c r="G30" s="15"/>
      <c r="H30" s="239"/>
      <c r="I30" s="239"/>
      <c r="J30" s="239"/>
      <c r="K30" s="239"/>
      <c r="L30" s="239"/>
      <c r="M30" s="239"/>
      <c r="N30" s="239"/>
      <c r="O30" s="239"/>
      <c r="P30" s="239"/>
      <c r="Q30" s="239"/>
      <c r="R30" s="239"/>
      <c r="S30" s="239"/>
      <c r="T30" s="240"/>
      <c r="U30" s="241"/>
      <c r="V30" s="74">
        <f t="shared" si="0"/>
        <v>0</v>
      </c>
      <c r="W30" s="17"/>
    </row>
    <row r="31" spans="1:23" ht="12" customHeight="1" x14ac:dyDescent="0.2">
      <c r="A31" s="6"/>
      <c r="B31" s="6"/>
      <c r="C31" s="13"/>
      <c r="D31" s="19">
        <f t="shared" si="1"/>
        <v>20</v>
      </c>
      <c r="E31" s="67" t="str">
        <f>IF(OR('Services - Base year'!E29="",'Services - Base year'!E29="[Enter service]"),"",'Services - Base year'!E29)</f>
        <v>Land Use Planning</v>
      </c>
      <c r="F31" s="68" t="str">
        <f>IF(OR('Services - Base year'!F29="",'Services - Base year'!F29="[Select]"),"",'Services - Base year'!F29)</f>
        <v>External</v>
      </c>
      <c r="G31" s="15"/>
      <c r="H31" s="239">
        <f>-GETPIVOTDATA("Sum of 2016/17",'[4]ESC Stat Fees'!$A$3,"Stat of Inc &amp; Exp (Available Cash)","Statutory fees and fines","Strategic Objectives (KSAs)","SO4 - 02 - Land Use Planning - Inc")</f>
        <v>70000</v>
      </c>
      <c r="I31" s="239"/>
      <c r="J31" s="239"/>
      <c r="K31" s="239"/>
      <c r="L31" s="239"/>
      <c r="M31" s="239"/>
      <c r="N31" s="239"/>
      <c r="O31" s="239"/>
      <c r="P31" s="239"/>
      <c r="Q31" s="239"/>
      <c r="R31" s="239"/>
      <c r="S31" s="239"/>
      <c r="T31" s="240"/>
      <c r="U31" s="241"/>
      <c r="V31" s="74">
        <f t="shared" si="0"/>
        <v>70000</v>
      </c>
      <c r="W31" s="17"/>
    </row>
    <row r="32" spans="1:23" ht="12" customHeight="1" x14ac:dyDescent="0.2">
      <c r="A32" s="6"/>
      <c r="B32" s="6"/>
      <c r="C32" s="13"/>
      <c r="D32" s="19">
        <f t="shared" si="1"/>
        <v>21</v>
      </c>
      <c r="E32" s="67" t="str">
        <f>IF(OR('Services - Base year'!E30="",'Services - Base year'!E30="[Enter service]"),"",'Services - Base year'!E30)</f>
        <v>Heritage Conservation Advice</v>
      </c>
      <c r="F32" s="68" t="str">
        <f>IF(OR('Services - Base year'!F30="",'Services - Base year'!F30="[Select]"),"",'Services - Base year'!F30)</f>
        <v>External</v>
      </c>
      <c r="G32" s="15"/>
      <c r="H32" s="239"/>
      <c r="I32" s="239"/>
      <c r="J32" s="239"/>
      <c r="K32" s="239"/>
      <c r="L32" s="239"/>
      <c r="M32" s="239"/>
      <c r="N32" s="239"/>
      <c r="O32" s="239"/>
      <c r="P32" s="239"/>
      <c r="Q32" s="239"/>
      <c r="R32" s="239"/>
      <c r="S32" s="239"/>
      <c r="T32" s="240"/>
      <c r="U32" s="241"/>
      <c r="V32" s="74">
        <f t="shared" si="0"/>
        <v>0</v>
      </c>
      <c r="W32" s="17"/>
    </row>
    <row r="33" spans="1:23" ht="12" customHeight="1" x14ac:dyDescent="0.2">
      <c r="A33" s="6"/>
      <c r="B33" s="6"/>
      <c r="C33" s="13"/>
      <c r="D33" s="19">
        <f t="shared" si="1"/>
        <v>22</v>
      </c>
      <c r="E33" s="67" t="str">
        <f>IF(OR('Services - Base year'!E31="",'Services - Base year'!E31="[Enter service]"),"",'Services - Base year'!E31)</f>
        <v>Building Control</v>
      </c>
      <c r="F33" s="68" t="str">
        <f>IF(OR('Services - Base year'!F31="",'Services - Base year'!F31="[Select]"),"",'Services - Base year'!F31)</f>
        <v>External</v>
      </c>
      <c r="G33" s="15"/>
      <c r="H33" s="239"/>
      <c r="I33" s="239">
        <f>-GETPIVOTDATA("Sum of 2016/17",'[4]ESC User Fees'!$A$3,"Stat of Inc &amp; Exp (Available Cash)","User fees and charges","Strategic Objectives (KSAs)","SO4 - 04 - Building Control - Inc")</f>
        <v>15000</v>
      </c>
      <c r="J33" s="239"/>
      <c r="K33" s="239"/>
      <c r="L33" s="239"/>
      <c r="M33" s="239"/>
      <c r="N33" s="239"/>
      <c r="O33" s="239"/>
      <c r="P33" s="239"/>
      <c r="Q33" s="239"/>
      <c r="R33" s="239"/>
      <c r="S33" s="239"/>
      <c r="T33" s="240"/>
      <c r="U33" s="241"/>
      <c r="V33" s="74">
        <f t="shared" si="0"/>
        <v>15000</v>
      </c>
      <c r="W33" s="17"/>
    </row>
    <row r="34" spans="1:23" ht="12" customHeight="1" x14ac:dyDescent="0.2">
      <c r="A34" s="6"/>
      <c r="B34" s="6"/>
      <c r="C34" s="13"/>
      <c r="D34" s="19">
        <f t="shared" si="1"/>
        <v>23</v>
      </c>
      <c r="E34" s="67" t="str">
        <f>IF(OR('Services - Base year'!E32="",'Services - Base year'!E32="[Enter service]"),"",'Services - Base year'!E32)</f>
        <v>Council Governance</v>
      </c>
      <c r="F34" s="68" t="str">
        <f>IF(OR('Services - Base year'!F32="",'Services - Base year'!F32="[Select]"),"",'Services - Base year'!F32)</f>
        <v>Mixed</v>
      </c>
      <c r="G34" s="15"/>
      <c r="H34" s="239"/>
      <c r="I34" s="239"/>
      <c r="J34" s="239"/>
      <c r="K34" s="239"/>
      <c r="L34" s="239"/>
      <c r="M34" s="239"/>
      <c r="N34" s="239"/>
      <c r="O34" s="239"/>
      <c r="P34" s="239"/>
      <c r="Q34" s="239"/>
      <c r="R34" s="239"/>
      <c r="S34" s="239"/>
      <c r="T34" s="240"/>
      <c r="U34" s="241"/>
      <c r="V34" s="74">
        <f t="shared" si="0"/>
        <v>0</v>
      </c>
      <c r="W34" s="17"/>
    </row>
    <row r="35" spans="1:23" ht="12" customHeight="1" x14ac:dyDescent="0.2">
      <c r="A35" s="6"/>
      <c r="B35" s="6"/>
      <c r="C35" s="13"/>
      <c r="D35" s="19">
        <f t="shared" si="1"/>
        <v>24</v>
      </c>
      <c r="E35" s="67" t="str">
        <f>IF(OR('Services - Base year'!E33="",'Services - Base year'!E33="[Enter service]"),"",'Services - Base year'!E33)</f>
        <v>Organisation Performance and Compliance</v>
      </c>
      <c r="F35" s="68" t="str">
        <f>IF(OR('Services - Base year'!F33="",'Services - Base year'!F33="[Select]"),"",'Services - Base year'!F33)</f>
        <v>Internal</v>
      </c>
      <c r="G35" s="15"/>
      <c r="H35" s="239"/>
      <c r="I35" s="239">
        <f>-GETPIVOTDATA("Sum of 2016/17",'[4]ESC User Fees'!$A$3,"Stat of Inc &amp; Exp (Available Cash)","User fees and charges","Strategic Objectives (KSAs)","SO5 - 02 - Organisational Performance and Compliance - Inc")</f>
        <v>4800</v>
      </c>
      <c r="J35" s="239">
        <f>-GETPIVOTDATA("Sum of 2016/17",'[4]ESC Grants Op'!$A$3,"Stat of Inc &amp; Exp (Available Cash)","Grants - operating","Strategic Objectives (KSAs)","SO5 - 02 - Organisational Performance and Compliance - Inc")</f>
        <v>193096</v>
      </c>
      <c r="K35" s="239"/>
      <c r="L35" s="239"/>
      <c r="M35" s="239"/>
      <c r="N35" s="239"/>
      <c r="O35" s="239"/>
      <c r="P35" s="239"/>
      <c r="Q35" s="239">
        <f>-GETPIVOTDATA("Sum of 2016/17",'[4]ESC Other Inc'!$A$3,"Stat of Inc &amp; Exp (Available Cash)","Other income","Strategic Objectives (KSAs)","SO5 - 02 - Organisational Performance and Compliance - Inc")</f>
        <v>1300</v>
      </c>
      <c r="R35" s="239"/>
      <c r="S35" s="239"/>
      <c r="T35" s="240"/>
      <c r="U35" s="241"/>
      <c r="V35" s="74">
        <f t="shared" si="0"/>
        <v>199196</v>
      </c>
      <c r="W35" s="17"/>
    </row>
    <row r="36" spans="1:23" ht="12" customHeight="1" x14ac:dyDescent="0.2">
      <c r="A36" s="6"/>
      <c r="B36" s="6"/>
      <c r="C36" s="13"/>
      <c r="D36" s="19">
        <f t="shared" si="1"/>
        <v>25</v>
      </c>
      <c r="E36" s="67" t="str">
        <f>IF(OR('Services - Base year'!E34="",'Services - Base year'!E34="[Enter service]"),"",'Services - Base year'!E34)</f>
        <v>Community Engagement and Customer Service</v>
      </c>
      <c r="F36" s="68" t="str">
        <f>IF(OR('Services - Base year'!F34="",'Services - Base year'!F34="[Select]"),"",'Services - Base year'!F34)</f>
        <v>Mixed</v>
      </c>
      <c r="G36" s="15"/>
      <c r="H36" s="239"/>
      <c r="I36" s="239">
        <f>-GETPIVOTDATA("Sum of 2016/17",'[4]ESC User Fees'!$A$3,"Stat of Inc &amp; Exp (Available Cash)","User fees and charges","Strategic Objectives (KSAs)","SO5 - 03 - Community Engagement and Customer Service - Inc")</f>
        <v>83.7</v>
      </c>
      <c r="J36" s="239"/>
      <c r="K36" s="239"/>
      <c r="L36" s="239"/>
      <c r="M36" s="239"/>
      <c r="N36" s="239"/>
      <c r="O36" s="239"/>
      <c r="P36" s="239"/>
      <c r="Q36" s="239"/>
      <c r="R36" s="239"/>
      <c r="S36" s="239"/>
      <c r="T36" s="240"/>
      <c r="U36" s="241"/>
      <c r="V36" s="74">
        <f t="shared" si="0"/>
        <v>83.7</v>
      </c>
      <c r="W36" s="17"/>
    </row>
    <row r="37" spans="1:23" ht="12" customHeight="1" x14ac:dyDescent="0.2">
      <c r="A37" s="6"/>
      <c r="B37" s="6"/>
      <c r="C37" s="13"/>
      <c r="D37" s="19">
        <f t="shared" si="1"/>
        <v>26</v>
      </c>
      <c r="E37" s="67" t="str">
        <f>IF(OR('Services - Base year'!E35="",'Services - Base year'!E35="[Enter service]"),"",'Services - Base year'!E35)</f>
        <v>Financial and Risk Management</v>
      </c>
      <c r="F37" s="68" t="str">
        <f>IF(OR('Services - Base year'!F35="",'Services - Base year'!F35="[Select]"),"",'Services - Base year'!F35)</f>
        <v>Internal</v>
      </c>
      <c r="G37" s="15"/>
      <c r="H37" s="239">
        <f>-GETPIVOTDATA("Sum of 2016/17",'[4]ESC Stat Fees'!$A$3,"Stat of Inc &amp; Exp (Available Cash)","Statutory fees and fines","Strategic Objectives (KSAs)","SO5 - 04 - Financial and Risk Management - Inc")</f>
        <v>9979.4500000000007</v>
      </c>
      <c r="I37" s="239">
        <f>-GETPIVOTDATA("Sum of 2016/17",'[4]ESC User Fees'!$A$3,"Stat of Inc &amp; Exp (Available Cash)","User fees and charges","Strategic Objectives (KSAs)","SO5 - 04 - Financial and Risk Management - Inc")</f>
        <v>-1382.3300000000004</v>
      </c>
      <c r="J37" s="239">
        <f>-GETPIVOTDATA("Sum of 2016/17",'[4]ESC Grants Op'!$A$3,"Stat of Inc &amp; Exp (Available Cash)","Grants - operating","Strategic Objectives (KSAs)","SO5 - 04 - Financial and Risk Management - Inc")</f>
        <v>36923</v>
      </c>
      <c r="K37" s="239"/>
      <c r="L37" s="239"/>
      <c r="M37" s="239"/>
      <c r="N37" s="239"/>
      <c r="O37" s="239"/>
      <c r="P37" s="239"/>
      <c r="Q37" s="239">
        <f>-GETPIVOTDATA("Sum of 2016/17",'[4]ESC Other Inc'!$A$3,"Stat of Inc &amp; Exp (Available Cash)","Other income","Strategic Objectives (KSAs)","SO5 - 04 - Financial and Risk Management - Inc")</f>
        <v>148245.76000000001</v>
      </c>
      <c r="R37" s="239"/>
      <c r="S37" s="239"/>
      <c r="T37" s="240"/>
      <c r="U37" s="241"/>
      <c r="V37" s="74">
        <f t="shared" si="0"/>
        <v>193765.88</v>
      </c>
      <c r="W37" s="17"/>
    </row>
    <row r="38" spans="1:23" ht="12" customHeight="1" x14ac:dyDescent="0.2">
      <c r="A38" s="6"/>
      <c r="B38" s="6"/>
      <c r="C38" s="13"/>
      <c r="D38" s="19">
        <f t="shared" si="1"/>
        <v>27</v>
      </c>
      <c r="E38" s="67" t="str">
        <f>IF(OR('Services - Base year'!E36="",'Services - Base year'!E36="[Enter service]"),"",'Services - Base year'!E36)</f>
        <v/>
      </c>
      <c r="F38" s="68" t="str">
        <f>IF(OR('Services - Base year'!F36="",'Services - Base year'!F36="[Select]"),"",'Services - Base year'!F36)</f>
        <v/>
      </c>
      <c r="G38" s="15"/>
      <c r="H38" s="239"/>
      <c r="I38" s="239"/>
      <c r="J38" s="239"/>
      <c r="K38" s="239"/>
      <c r="L38" s="239"/>
      <c r="M38" s="239"/>
      <c r="N38" s="239"/>
      <c r="O38" s="239"/>
      <c r="P38" s="239"/>
      <c r="Q38" s="239"/>
      <c r="R38" s="239"/>
      <c r="S38" s="239"/>
      <c r="T38" s="240"/>
      <c r="U38" s="241"/>
      <c r="V38" s="74">
        <f t="shared" si="0"/>
        <v>0</v>
      </c>
      <c r="W38" s="17"/>
    </row>
    <row r="39" spans="1:23" ht="12" customHeight="1" x14ac:dyDescent="0.2">
      <c r="A39" s="6"/>
      <c r="B39" s="6"/>
      <c r="C39" s="13"/>
      <c r="D39" s="19">
        <f t="shared" si="1"/>
        <v>28</v>
      </c>
      <c r="E39" s="67" t="str">
        <f>IF(OR('Services - Base year'!E37="",'Services - Base year'!E37="[Enter service]"),"",'Services - Base year'!E37)</f>
        <v>Capital Works Program</v>
      </c>
      <c r="F39" s="68" t="str">
        <f>IF(OR('Services - Base year'!F37="",'Services - Base year'!F37="[Select]"),"",'Services - Base year'!F37)</f>
        <v>External</v>
      </c>
      <c r="G39" s="15"/>
      <c r="H39" s="239"/>
      <c r="I39" s="239"/>
      <c r="J39" s="239"/>
      <c r="K39" s="239"/>
      <c r="L39" s="239"/>
      <c r="M39" s="239">
        <f>-GETPIVOTDATA("Sum of 2016/17",'[4]ESC Grants Cap'!$A$3,"Stat of Inc &amp; Exp (Available Cash)","Grants - capital","Strategic Objectives (KSAs)","Rec - Funding source - Capital grants and contributions")</f>
        <v>18000</v>
      </c>
      <c r="N39" s="239"/>
      <c r="O39" s="239"/>
      <c r="P39" s="239"/>
      <c r="Q39" s="239"/>
      <c r="R39" s="239"/>
      <c r="S39" s="239"/>
      <c r="T39" s="240"/>
      <c r="U39" s="241"/>
      <c r="V39" s="74">
        <f t="shared" si="0"/>
        <v>18000</v>
      </c>
      <c r="W39" s="17"/>
    </row>
    <row r="40" spans="1:23" ht="12" customHeight="1" x14ac:dyDescent="0.2">
      <c r="A40" s="6"/>
      <c r="B40" s="6"/>
      <c r="C40" s="13"/>
      <c r="D40" s="19">
        <f t="shared" si="1"/>
        <v>29</v>
      </c>
      <c r="E40" s="67" t="str">
        <f>IF(OR('Services - Base year'!E38="",'Services - Base year'!E38="[Enter service]"),"",'Services - Base year'!E38)</f>
        <v/>
      </c>
      <c r="F40" s="68" t="str">
        <f>IF(OR('Services - Base year'!F38="",'Services - Base year'!F38="[Select]"),"",'Services - Base year'!F38)</f>
        <v/>
      </c>
      <c r="G40" s="15"/>
      <c r="H40" s="239"/>
      <c r="I40" s="239"/>
      <c r="J40" s="239"/>
      <c r="K40" s="239"/>
      <c r="L40" s="239"/>
      <c r="M40" s="239"/>
      <c r="N40" s="239"/>
      <c r="O40" s="239"/>
      <c r="P40" s="239"/>
      <c r="Q40" s="239"/>
      <c r="R40" s="239"/>
      <c r="S40" s="239"/>
      <c r="T40" s="240"/>
      <c r="U40" s="241"/>
      <c r="V40" s="74">
        <f t="shared" si="0"/>
        <v>0</v>
      </c>
      <c r="W40" s="17"/>
    </row>
    <row r="41" spans="1:23" ht="12" customHeight="1" x14ac:dyDescent="0.2">
      <c r="A41" s="6"/>
      <c r="B41" s="6"/>
      <c r="C41" s="13"/>
      <c r="D41" s="19">
        <f t="shared" si="1"/>
        <v>30</v>
      </c>
      <c r="E41" s="67" t="str">
        <f>IF(OR('Services - Base year'!E39="",'Services - Base year'!E39="[Enter service]"),"",'Services - Base year'!E39)</f>
        <v/>
      </c>
      <c r="F41" s="68" t="str">
        <f>IF(OR('Services - Base year'!F39="",'Services - Base year'!F39="[Select]"),"",'Services - Base year'!F39)</f>
        <v/>
      </c>
      <c r="G41" s="15"/>
      <c r="H41" s="239"/>
      <c r="I41" s="239"/>
      <c r="J41" s="239"/>
      <c r="K41" s="239"/>
      <c r="L41" s="239"/>
      <c r="M41" s="239"/>
      <c r="N41" s="239"/>
      <c r="O41" s="239"/>
      <c r="P41" s="239"/>
      <c r="Q41" s="239"/>
      <c r="R41" s="239"/>
      <c r="S41" s="239"/>
      <c r="T41" s="240"/>
      <c r="U41" s="241"/>
      <c r="V41" s="74">
        <f t="shared" si="0"/>
        <v>0</v>
      </c>
      <c r="W41" s="17"/>
    </row>
    <row r="42" spans="1:23" ht="12" customHeight="1" x14ac:dyDescent="0.2">
      <c r="A42" s="6"/>
      <c r="B42" s="6"/>
      <c r="C42" s="13"/>
      <c r="D42" s="19">
        <f t="shared" si="1"/>
        <v>31</v>
      </c>
      <c r="E42" s="67" t="str">
        <f>IF(OR('Services - Base year'!E40="",'Services - Base year'!E40="[Enter service]"),"",'Services - Base year'!E40)</f>
        <v/>
      </c>
      <c r="F42" s="68" t="str">
        <f>IF(OR('Services - Base year'!F40="",'Services - Base year'!F40="[Select]"),"",'Services - Base year'!F40)</f>
        <v/>
      </c>
      <c r="G42" s="15"/>
      <c r="H42" s="239"/>
      <c r="I42" s="239"/>
      <c r="J42" s="239"/>
      <c r="K42" s="239"/>
      <c r="L42" s="239"/>
      <c r="M42" s="239"/>
      <c r="N42" s="239"/>
      <c r="O42" s="239"/>
      <c r="P42" s="239"/>
      <c r="Q42" s="239"/>
      <c r="R42" s="239"/>
      <c r="S42" s="239"/>
      <c r="T42" s="240"/>
      <c r="U42" s="241"/>
      <c r="V42" s="74">
        <f t="shared" si="0"/>
        <v>0</v>
      </c>
      <c r="W42" s="17"/>
    </row>
    <row r="43" spans="1:23" ht="12" customHeight="1" x14ac:dyDescent="0.2">
      <c r="A43" s="6"/>
      <c r="B43" s="6"/>
      <c r="C43" s="13"/>
      <c r="D43" s="19">
        <f t="shared" si="1"/>
        <v>32</v>
      </c>
      <c r="E43" s="67" t="str">
        <f>IF(OR('Services - Base year'!E41="",'Services - Base year'!E41="[Enter service]"),"",'Services - Base year'!E41)</f>
        <v/>
      </c>
      <c r="F43" s="68" t="str">
        <f>IF(OR('Services - Base year'!F41="",'Services - Base year'!F41="[Select]"),"",'Services - Base year'!F41)</f>
        <v/>
      </c>
      <c r="G43" s="15"/>
      <c r="H43" s="239"/>
      <c r="I43" s="239"/>
      <c r="J43" s="239"/>
      <c r="K43" s="239"/>
      <c r="L43" s="239"/>
      <c r="M43" s="239"/>
      <c r="N43" s="239"/>
      <c r="O43" s="239"/>
      <c r="P43" s="239"/>
      <c r="Q43" s="239"/>
      <c r="R43" s="239"/>
      <c r="S43" s="239"/>
      <c r="T43" s="240"/>
      <c r="U43" s="241"/>
      <c r="V43" s="74">
        <f t="shared" si="0"/>
        <v>0</v>
      </c>
      <c r="W43" s="17"/>
    </row>
    <row r="44" spans="1:23" ht="12" customHeight="1" x14ac:dyDescent="0.2">
      <c r="A44" s="6"/>
      <c r="B44" s="6"/>
      <c r="C44" s="13"/>
      <c r="D44" s="19">
        <f t="shared" si="1"/>
        <v>33</v>
      </c>
      <c r="E44" s="67" t="str">
        <f>IF(OR('Services - Base year'!E42="",'Services - Base year'!E42="[Enter service]"),"",'Services - Base year'!E42)</f>
        <v/>
      </c>
      <c r="F44" s="68" t="str">
        <f>IF(OR('Services - Base year'!F42="",'Services - Base year'!F42="[Select]"),"",'Services - Base year'!F42)</f>
        <v/>
      </c>
      <c r="G44" s="15"/>
      <c r="H44" s="239"/>
      <c r="I44" s="239"/>
      <c r="J44" s="239"/>
      <c r="K44" s="239"/>
      <c r="L44" s="239"/>
      <c r="M44" s="239"/>
      <c r="N44" s="239"/>
      <c r="O44" s="239"/>
      <c r="P44" s="239"/>
      <c r="Q44" s="239"/>
      <c r="R44" s="239"/>
      <c r="S44" s="239"/>
      <c r="T44" s="240"/>
      <c r="U44" s="241"/>
      <c r="V44" s="74">
        <f t="shared" ref="V44:V75" si="2">SUM(H44:U44)</f>
        <v>0</v>
      </c>
      <c r="W44" s="17"/>
    </row>
    <row r="45" spans="1:23" ht="12" customHeight="1" x14ac:dyDescent="0.2">
      <c r="A45" s="6"/>
      <c r="B45" s="6"/>
      <c r="C45" s="13"/>
      <c r="D45" s="19">
        <f t="shared" si="1"/>
        <v>34</v>
      </c>
      <c r="E45" s="67" t="str">
        <f>IF(OR('Services - Base year'!E43="",'Services - Base year'!E43="[Enter service]"),"",'Services - Base year'!E43)</f>
        <v/>
      </c>
      <c r="F45" s="68" t="str">
        <f>IF(OR('Services - Base year'!F43="",'Services - Base year'!F43="[Select]"),"",'Services - Base year'!F43)</f>
        <v/>
      </c>
      <c r="G45" s="15"/>
      <c r="H45" s="239"/>
      <c r="I45" s="239"/>
      <c r="J45" s="239"/>
      <c r="K45" s="239"/>
      <c r="L45" s="239"/>
      <c r="M45" s="239"/>
      <c r="N45" s="239"/>
      <c r="O45" s="239"/>
      <c r="P45" s="239"/>
      <c r="Q45" s="239"/>
      <c r="R45" s="239"/>
      <c r="S45" s="239"/>
      <c r="T45" s="240"/>
      <c r="U45" s="241"/>
      <c r="V45" s="74">
        <f t="shared" si="2"/>
        <v>0</v>
      </c>
      <c r="W45" s="17"/>
    </row>
    <row r="46" spans="1:23" ht="12" customHeight="1" x14ac:dyDescent="0.2">
      <c r="A46" s="6"/>
      <c r="B46" s="6"/>
      <c r="C46" s="13"/>
      <c r="D46" s="19">
        <f t="shared" si="1"/>
        <v>35</v>
      </c>
      <c r="E46" s="67" t="str">
        <f>IF(OR('Services - Base year'!E44="",'Services - Base year'!E44="[Enter service]"),"",'Services - Base year'!E44)</f>
        <v/>
      </c>
      <c r="F46" s="68" t="str">
        <f>IF(OR('Services - Base year'!F44="",'Services - Base year'!F44="[Select]"),"",'Services - Base year'!F44)</f>
        <v/>
      </c>
      <c r="G46" s="15"/>
      <c r="H46" s="239"/>
      <c r="I46" s="239"/>
      <c r="J46" s="239"/>
      <c r="K46" s="239"/>
      <c r="L46" s="239"/>
      <c r="M46" s="239"/>
      <c r="N46" s="239"/>
      <c r="O46" s="239"/>
      <c r="P46" s="239"/>
      <c r="Q46" s="239"/>
      <c r="R46" s="239"/>
      <c r="S46" s="239"/>
      <c r="T46" s="240"/>
      <c r="U46" s="241"/>
      <c r="V46" s="74">
        <f t="shared" si="2"/>
        <v>0</v>
      </c>
      <c r="W46" s="17"/>
    </row>
    <row r="47" spans="1:23" ht="12" customHeight="1" x14ac:dyDescent="0.2">
      <c r="A47" s="6"/>
      <c r="B47" s="6"/>
      <c r="C47" s="13"/>
      <c r="D47" s="19">
        <f t="shared" si="1"/>
        <v>36</v>
      </c>
      <c r="E47" s="67" t="str">
        <f>IF(OR('Services - Base year'!E45="",'Services - Base year'!E45="[Enter service]"),"",'Services - Base year'!E45)</f>
        <v/>
      </c>
      <c r="F47" s="68" t="str">
        <f>IF(OR('Services - Base year'!F45="",'Services - Base year'!F45="[Select]"),"",'Services - Base year'!F45)</f>
        <v/>
      </c>
      <c r="G47" s="15"/>
      <c r="H47" s="239"/>
      <c r="I47" s="239"/>
      <c r="J47" s="239"/>
      <c r="K47" s="239"/>
      <c r="L47" s="239"/>
      <c r="M47" s="239"/>
      <c r="N47" s="239"/>
      <c r="O47" s="239"/>
      <c r="P47" s="239"/>
      <c r="Q47" s="239"/>
      <c r="R47" s="239"/>
      <c r="S47" s="239"/>
      <c r="T47" s="240"/>
      <c r="U47" s="241"/>
      <c r="V47" s="74">
        <f t="shared" si="2"/>
        <v>0</v>
      </c>
      <c r="W47" s="17"/>
    </row>
    <row r="48" spans="1:23" ht="12" customHeight="1" x14ac:dyDescent="0.2">
      <c r="A48" s="6"/>
      <c r="B48" s="6"/>
      <c r="C48" s="13"/>
      <c r="D48" s="19">
        <f t="shared" si="1"/>
        <v>37</v>
      </c>
      <c r="E48" s="67" t="str">
        <f>IF(OR('Services - Base year'!E46="",'Services - Base year'!E46="[Enter service]"),"",'Services - Base year'!E46)</f>
        <v/>
      </c>
      <c r="F48" s="68" t="str">
        <f>IF(OR('Services - Base year'!F46="",'Services - Base year'!F46="[Select]"),"",'Services - Base year'!F46)</f>
        <v/>
      </c>
      <c r="G48" s="15"/>
      <c r="H48" s="239"/>
      <c r="I48" s="239"/>
      <c r="J48" s="239"/>
      <c r="K48" s="239"/>
      <c r="L48" s="239"/>
      <c r="M48" s="239"/>
      <c r="N48" s="239"/>
      <c r="O48" s="239"/>
      <c r="P48" s="239"/>
      <c r="Q48" s="239"/>
      <c r="R48" s="239"/>
      <c r="S48" s="239"/>
      <c r="T48" s="240"/>
      <c r="U48" s="241"/>
      <c r="V48" s="74">
        <f t="shared" si="2"/>
        <v>0</v>
      </c>
      <c r="W48" s="17"/>
    </row>
    <row r="49" spans="1:23" ht="12" customHeight="1" x14ac:dyDescent="0.2">
      <c r="A49" s="6"/>
      <c r="B49" s="6"/>
      <c r="C49" s="13"/>
      <c r="D49" s="19">
        <f t="shared" si="1"/>
        <v>38</v>
      </c>
      <c r="E49" s="67" t="str">
        <f>IF(OR('Services - Base year'!E47="",'Services - Base year'!E47="[Enter service]"),"",'Services - Base year'!E47)</f>
        <v/>
      </c>
      <c r="F49" s="68" t="str">
        <f>IF(OR('Services - Base year'!F47="",'Services - Base year'!F47="[Select]"),"",'Services - Base year'!F47)</f>
        <v/>
      </c>
      <c r="G49" s="15"/>
      <c r="H49" s="239"/>
      <c r="I49" s="239"/>
      <c r="J49" s="239"/>
      <c r="K49" s="239"/>
      <c r="L49" s="239"/>
      <c r="M49" s="239"/>
      <c r="N49" s="239"/>
      <c r="O49" s="239"/>
      <c r="P49" s="239"/>
      <c r="Q49" s="239"/>
      <c r="R49" s="239"/>
      <c r="S49" s="239"/>
      <c r="T49" s="240"/>
      <c r="U49" s="241"/>
      <c r="V49" s="74">
        <f t="shared" si="2"/>
        <v>0</v>
      </c>
      <c r="W49" s="17"/>
    </row>
    <row r="50" spans="1:23" ht="12" customHeight="1" x14ac:dyDescent="0.2">
      <c r="A50" s="6"/>
      <c r="B50" s="6"/>
      <c r="C50" s="13"/>
      <c r="D50" s="19">
        <f t="shared" si="1"/>
        <v>39</v>
      </c>
      <c r="E50" s="67" t="str">
        <f>IF(OR('Services - Base year'!E48="",'Services - Base year'!E48="[Enter service]"),"",'Services - Base year'!E48)</f>
        <v/>
      </c>
      <c r="F50" s="68" t="str">
        <f>IF(OR('Services - Base year'!F48="",'Services - Base year'!F48="[Select]"),"",'Services - Base year'!F48)</f>
        <v/>
      </c>
      <c r="G50" s="15"/>
      <c r="H50" s="239"/>
      <c r="I50" s="239"/>
      <c r="J50" s="239"/>
      <c r="K50" s="239"/>
      <c r="L50" s="239"/>
      <c r="M50" s="239"/>
      <c r="N50" s="239"/>
      <c r="O50" s="239"/>
      <c r="P50" s="239"/>
      <c r="Q50" s="239"/>
      <c r="R50" s="239"/>
      <c r="S50" s="239"/>
      <c r="T50" s="240"/>
      <c r="U50" s="241"/>
      <c r="V50" s="74">
        <f t="shared" si="2"/>
        <v>0</v>
      </c>
      <c r="W50" s="17"/>
    </row>
    <row r="51" spans="1:23" ht="12" customHeight="1" x14ac:dyDescent="0.2">
      <c r="A51" s="6"/>
      <c r="B51" s="6"/>
      <c r="C51" s="13"/>
      <c r="D51" s="19">
        <f t="shared" si="1"/>
        <v>40</v>
      </c>
      <c r="E51" s="67" t="str">
        <f>IF(OR('Services - Base year'!E49="",'Services - Base year'!E49="[Enter service]"),"",'Services - Base year'!E49)</f>
        <v/>
      </c>
      <c r="F51" s="68" t="str">
        <f>IF(OR('Services - Base year'!F49="",'Services - Base year'!F49="[Select]"),"",'Services - Base year'!F49)</f>
        <v/>
      </c>
      <c r="G51" s="15"/>
      <c r="H51" s="239"/>
      <c r="I51" s="239"/>
      <c r="J51" s="239"/>
      <c r="K51" s="239"/>
      <c r="L51" s="239"/>
      <c r="M51" s="239"/>
      <c r="N51" s="239"/>
      <c r="O51" s="239"/>
      <c r="P51" s="239"/>
      <c r="Q51" s="239"/>
      <c r="R51" s="239"/>
      <c r="S51" s="239"/>
      <c r="T51" s="240"/>
      <c r="U51" s="241"/>
      <c r="V51" s="74">
        <f t="shared" si="2"/>
        <v>0</v>
      </c>
      <c r="W51" s="17"/>
    </row>
    <row r="52" spans="1:23" ht="12" customHeight="1" x14ac:dyDescent="0.2">
      <c r="A52" s="6"/>
      <c r="B52" s="6"/>
      <c r="C52" s="13"/>
      <c r="D52" s="19">
        <f t="shared" si="1"/>
        <v>41</v>
      </c>
      <c r="E52" s="67" t="str">
        <f>IF(OR('Services - Base year'!E50="",'Services - Base year'!E50="[Enter service]"),"",'Services - Base year'!E50)</f>
        <v/>
      </c>
      <c r="F52" s="68" t="str">
        <f>IF(OR('Services - Base year'!F50="",'Services - Base year'!F50="[Select]"),"",'Services - Base year'!F50)</f>
        <v/>
      </c>
      <c r="G52" s="15"/>
      <c r="H52" s="239"/>
      <c r="I52" s="239"/>
      <c r="J52" s="239"/>
      <c r="K52" s="239"/>
      <c r="L52" s="239"/>
      <c r="M52" s="239"/>
      <c r="N52" s="239"/>
      <c r="O52" s="239"/>
      <c r="P52" s="239"/>
      <c r="Q52" s="239"/>
      <c r="R52" s="239"/>
      <c r="S52" s="239"/>
      <c r="T52" s="240"/>
      <c r="U52" s="241"/>
      <c r="V52" s="74">
        <f t="shared" si="2"/>
        <v>0</v>
      </c>
      <c r="W52" s="17"/>
    </row>
    <row r="53" spans="1:23" ht="12" customHeight="1" x14ac:dyDescent="0.2">
      <c r="A53" s="6"/>
      <c r="B53" s="6"/>
      <c r="C53" s="13"/>
      <c r="D53" s="19">
        <f t="shared" si="1"/>
        <v>42</v>
      </c>
      <c r="E53" s="67" t="str">
        <f>IF(OR('Services - Base year'!E51="",'Services - Base year'!E51="[Enter service]"),"",'Services - Base year'!E51)</f>
        <v/>
      </c>
      <c r="F53" s="68" t="str">
        <f>IF(OR('Services - Base year'!F51="",'Services - Base year'!F51="[Select]"),"",'Services - Base year'!F51)</f>
        <v/>
      </c>
      <c r="G53" s="15"/>
      <c r="H53" s="239"/>
      <c r="I53" s="239"/>
      <c r="J53" s="239"/>
      <c r="K53" s="239"/>
      <c r="L53" s="239"/>
      <c r="M53" s="239"/>
      <c r="N53" s="239"/>
      <c r="O53" s="239"/>
      <c r="P53" s="239"/>
      <c r="Q53" s="239"/>
      <c r="R53" s="239"/>
      <c r="S53" s="239"/>
      <c r="T53" s="240"/>
      <c r="U53" s="241"/>
      <c r="V53" s="74">
        <f t="shared" si="2"/>
        <v>0</v>
      </c>
      <c r="W53" s="17"/>
    </row>
    <row r="54" spans="1:23" ht="12" customHeight="1" x14ac:dyDescent="0.2">
      <c r="A54" s="6"/>
      <c r="B54" s="6"/>
      <c r="C54" s="13"/>
      <c r="D54" s="19">
        <f t="shared" si="1"/>
        <v>43</v>
      </c>
      <c r="E54" s="67" t="str">
        <f>IF(OR('Services - Base year'!E52="",'Services - Base year'!E52="[Enter service]"),"",'Services - Base year'!E52)</f>
        <v/>
      </c>
      <c r="F54" s="68" t="str">
        <f>IF(OR('Services - Base year'!F52="",'Services - Base year'!F52="[Select]"),"",'Services - Base year'!F52)</f>
        <v/>
      </c>
      <c r="G54" s="15"/>
      <c r="H54" s="239"/>
      <c r="I54" s="239"/>
      <c r="J54" s="239"/>
      <c r="K54" s="239"/>
      <c r="L54" s="239"/>
      <c r="M54" s="239"/>
      <c r="N54" s="239"/>
      <c r="O54" s="239"/>
      <c r="P54" s="239"/>
      <c r="Q54" s="239"/>
      <c r="R54" s="239"/>
      <c r="S54" s="239"/>
      <c r="T54" s="240"/>
      <c r="U54" s="241"/>
      <c r="V54" s="74">
        <f t="shared" si="2"/>
        <v>0</v>
      </c>
      <c r="W54" s="17"/>
    </row>
    <row r="55" spans="1:23" ht="12" customHeight="1" x14ac:dyDescent="0.2">
      <c r="A55" s="6"/>
      <c r="B55" s="6"/>
      <c r="C55" s="13"/>
      <c r="D55" s="19">
        <f t="shared" si="1"/>
        <v>44</v>
      </c>
      <c r="E55" s="67" t="str">
        <f>IF(OR('Services - Base year'!E53="",'Services - Base year'!E53="[Enter service]"),"",'Services - Base year'!E53)</f>
        <v/>
      </c>
      <c r="F55" s="68" t="str">
        <f>IF(OR('Services - Base year'!F53="",'Services - Base year'!F53="[Select]"),"",'Services - Base year'!F53)</f>
        <v/>
      </c>
      <c r="G55" s="15"/>
      <c r="H55" s="239"/>
      <c r="I55" s="239"/>
      <c r="J55" s="239"/>
      <c r="K55" s="239"/>
      <c r="L55" s="239"/>
      <c r="M55" s="239"/>
      <c r="N55" s="239"/>
      <c r="O55" s="239"/>
      <c r="P55" s="239"/>
      <c r="Q55" s="239"/>
      <c r="R55" s="239"/>
      <c r="S55" s="239"/>
      <c r="T55" s="240"/>
      <c r="U55" s="241"/>
      <c r="V55" s="74">
        <f t="shared" si="2"/>
        <v>0</v>
      </c>
      <c r="W55" s="17"/>
    </row>
    <row r="56" spans="1:23" ht="12" customHeight="1" x14ac:dyDescent="0.2">
      <c r="A56" s="6"/>
      <c r="B56" s="6"/>
      <c r="C56" s="13"/>
      <c r="D56" s="19">
        <f t="shared" si="1"/>
        <v>45</v>
      </c>
      <c r="E56" s="67" t="str">
        <f>IF(OR('Services - Base year'!E54="",'Services - Base year'!E54="[Enter service]"),"",'Services - Base year'!E54)</f>
        <v/>
      </c>
      <c r="F56" s="68" t="str">
        <f>IF(OR('Services - Base year'!F54="",'Services - Base year'!F54="[Select]"),"",'Services - Base year'!F54)</f>
        <v/>
      </c>
      <c r="G56" s="15"/>
      <c r="H56" s="239"/>
      <c r="I56" s="239"/>
      <c r="J56" s="239"/>
      <c r="K56" s="239"/>
      <c r="L56" s="239"/>
      <c r="M56" s="239"/>
      <c r="N56" s="239"/>
      <c r="O56" s="239"/>
      <c r="P56" s="239"/>
      <c r="Q56" s="239"/>
      <c r="R56" s="239"/>
      <c r="S56" s="239"/>
      <c r="T56" s="240"/>
      <c r="U56" s="241"/>
      <c r="V56" s="74">
        <f t="shared" si="2"/>
        <v>0</v>
      </c>
      <c r="W56" s="17"/>
    </row>
    <row r="57" spans="1:23" ht="12" customHeight="1" x14ac:dyDescent="0.2">
      <c r="A57" s="6"/>
      <c r="B57" s="6"/>
      <c r="C57" s="13"/>
      <c r="D57" s="19">
        <f t="shared" si="1"/>
        <v>46</v>
      </c>
      <c r="E57" s="67" t="str">
        <f>IF(OR('Services - Base year'!E55="",'Services - Base year'!E55="[Enter service]"),"",'Services - Base year'!E55)</f>
        <v/>
      </c>
      <c r="F57" s="68" t="str">
        <f>IF(OR('Services - Base year'!F55="",'Services - Base year'!F55="[Select]"),"",'Services - Base year'!F55)</f>
        <v/>
      </c>
      <c r="G57" s="15"/>
      <c r="H57" s="239"/>
      <c r="I57" s="239"/>
      <c r="J57" s="239"/>
      <c r="K57" s="239"/>
      <c r="L57" s="239"/>
      <c r="M57" s="239"/>
      <c r="N57" s="239"/>
      <c r="O57" s="239"/>
      <c r="P57" s="239"/>
      <c r="Q57" s="239"/>
      <c r="R57" s="239"/>
      <c r="S57" s="239"/>
      <c r="T57" s="240"/>
      <c r="U57" s="241"/>
      <c r="V57" s="74">
        <f t="shared" si="2"/>
        <v>0</v>
      </c>
      <c r="W57" s="17"/>
    </row>
    <row r="58" spans="1:23" ht="12" customHeight="1" x14ac:dyDescent="0.2">
      <c r="A58" s="6"/>
      <c r="B58" s="6"/>
      <c r="C58" s="13"/>
      <c r="D58" s="19">
        <f t="shared" si="1"/>
        <v>47</v>
      </c>
      <c r="E58" s="67" t="str">
        <f>IF(OR('Services - Base year'!E56="",'Services - Base year'!E56="[Enter service]"),"",'Services - Base year'!E56)</f>
        <v/>
      </c>
      <c r="F58" s="68" t="str">
        <f>IF(OR('Services - Base year'!F56="",'Services - Base year'!F56="[Select]"),"",'Services - Base year'!F56)</f>
        <v/>
      </c>
      <c r="G58" s="15"/>
      <c r="H58" s="239"/>
      <c r="I58" s="239"/>
      <c r="J58" s="239"/>
      <c r="K58" s="239"/>
      <c r="L58" s="239"/>
      <c r="M58" s="239"/>
      <c r="N58" s="239"/>
      <c r="O58" s="239"/>
      <c r="P58" s="239"/>
      <c r="Q58" s="239"/>
      <c r="R58" s="239"/>
      <c r="S58" s="239"/>
      <c r="T58" s="240"/>
      <c r="U58" s="241"/>
      <c r="V58" s="74">
        <f t="shared" si="2"/>
        <v>0</v>
      </c>
      <c r="W58" s="17"/>
    </row>
    <row r="59" spans="1:23" ht="12" customHeight="1" x14ac:dyDescent="0.2">
      <c r="A59" s="6"/>
      <c r="B59" s="6"/>
      <c r="C59" s="13"/>
      <c r="D59" s="19">
        <f t="shared" si="1"/>
        <v>48</v>
      </c>
      <c r="E59" s="67" t="str">
        <f>IF(OR('Services - Base year'!E57="",'Services - Base year'!E57="[Enter service]"),"",'Services - Base year'!E57)</f>
        <v/>
      </c>
      <c r="F59" s="68" t="str">
        <f>IF(OR('Services - Base year'!F57="",'Services - Base year'!F57="[Select]"),"",'Services - Base year'!F57)</f>
        <v/>
      </c>
      <c r="G59" s="15"/>
      <c r="H59" s="239"/>
      <c r="I59" s="239"/>
      <c r="J59" s="239"/>
      <c r="K59" s="239"/>
      <c r="L59" s="239"/>
      <c r="M59" s="239"/>
      <c r="N59" s="239"/>
      <c r="O59" s="239"/>
      <c r="P59" s="239"/>
      <c r="Q59" s="239"/>
      <c r="R59" s="239"/>
      <c r="S59" s="239"/>
      <c r="T59" s="240"/>
      <c r="U59" s="241"/>
      <c r="V59" s="74">
        <f t="shared" si="2"/>
        <v>0</v>
      </c>
      <c r="W59" s="17"/>
    </row>
    <row r="60" spans="1:23" ht="12" customHeight="1" x14ac:dyDescent="0.2">
      <c r="A60" s="6"/>
      <c r="B60" s="6"/>
      <c r="C60" s="13"/>
      <c r="D60" s="19">
        <f t="shared" si="1"/>
        <v>49</v>
      </c>
      <c r="E60" s="67" t="str">
        <f>IF(OR('Services - Base year'!E58="",'Services - Base year'!E58="[Enter service]"),"",'Services - Base year'!E58)</f>
        <v/>
      </c>
      <c r="F60" s="68" t="str">
        <f>IF(OR('Services - Base year'!F58="",'Services - Base year'!F58="[Select]"),"",'Services - Base year'!F58)</f>
        <v/>
      </c>
      <c r="G60" s="15"/>
      <c r="H60" s="239"/>
      <c r="I60" s="239"/>
      <c r="J60" s="239"/>
      <c r="K60" s="239"/>
      <c r="L60" s="239"/>
      <c r="M60" s="239"/>
      <c r="N60" s="239"/>
      <c r="O60" s="239"/>
      <c r="P60" s="239"/>
      <c r="Q60" s="239"/>
      <c r="R60" s="239"/>
      <c r="S60" s="239"/>
      <c r="T60" s="240"/>
      <c r="U60" s="241"/>
      <c r="V60" s="74">
        <f t="shared" si="2"/>
        <v>0</v>
      </c>
      <c r="W60" s="17"/>
    </row>
    <row r="61" spans="1:23" ht="12" customHeight="1" x14ac:dyDescent="0.2">
      <c r="A61" s="6"/>
      <c r="B61" s="6"/>
      <c r="C61" s="13"/>
      <c r="D61" s="19">
        <f t="shared" si="1"/>
        <v>50</v>
      </c>
      <c r="E61" s="67" t="str">
        <f>IF(OR('Services - Base year'!E59="",'Services - Base year'!E59="[Enter service]"),"",'Services - Base year'!E59)</f>
        <v/>
      </c>
      <c r="F61" s="68" t="str">
        <f>IF(OR('Services - Base year'!F59="",'Services - Base year'!F59="[Select]"),"",'Services - Base year'!F59)</f>
        <v/>
      </c>
      <c r="G61" s="15"/>
      <c r="H61" s="239"/>
      <c r="I61" s="239"/>
      <c r="J61" s="239"/>
      <c r="K61" s="239"/>
      <c r="L61" s="239"/>
      <c r="M61" s="239"/>
      <c r="N61" s="239"/>
      <c r="O61" s="239"/>
      <c r="P61" s="239"/>
      <c r="Q61" s="239"/>
      <c r="R61" s="239"/>
      <c r="S61" s="239"/>
      <c r="T61" s="240"/>
      <c r="U61" s="241"/>
      <c r="V61" s="74">
        <f t="shared" si="2"/>
        <v>0</v>
      </c>
      <c r="W61" s="17"/>
    </row>
    <row r="62" spans="1:23" ht="12" customHeight="1" x14ac:dyDescent="0.2">
      <c r="A62" s="6"/>
      <c r="B62" s="6"/>
      <c r="C62" s="13"/>
      <c r="D62" s="19">
        <f t="shared" si="1"/>
        <v>51</v>
      </c>
      <c r="E62" s="67" t="str">
        <f>IF(OR('Services - Base year'!E60="",'Services - Base year'!E60="[Enter service]"),"",'Services - Base year'!E60)</f>
        <v/>
      </c>
      <c r="F62" s="68" t="str">
        <f>IF(OR('Services - Base year'!F60="",'Services - Base year'!F60="[Select]"),"",'Services - Base year'!F60)</f>
        <v/>
      </c>
      <c r="G62" s="15"/>
      <c r="H62" s="239"/>
      <c r="I62" s="239"/>
      <c r="J62" s="239"/>
      <c r="K62" s="239"/>
      <c r="L62" s="239"/>
      <c r="M62" s="239"/>
      <c r="N62" s="239"/>
      <c r="O62" s="239"/>
      <c r="P62" s="239"/>
      <c r="Q62" s="239"/>
      <c r="R62" s="239"/>
      <c r="S62" s="239"/>
      <c r="T62" s="240"/>
      <c r="U62" s="241"/>
      <c r="V62" s="74">
        <f t="shared" si="2"/>
        <v>0</v>
      </c>
      <c r="W62" s="17"/>
    </row>
    <row r="63" spans="1:23" ht="12" customHeight="1" x14ac:dyDescent="0.2">
      <c r="A63" s="6"/>
      <c r="B63" s="6"/>
      <c r="C63" s="13"/>
      <c r="D63" s="19">
        <f t="shared" si="1"/>
        <v>52</v>
      </c>
      <c r="E63" s="67" t="str">
        <f>IF(OR('Services - Base year'!E61="",'Services - Base year'!E61="[Enter service]"),"",'Services - Base year'!E61)</f>
        <v/>
      </c>
      <c r="F63" s="68" t="str">
        <f>IF(OR('Services - Base year'!F61="",'Services - Base year'!F61="[Select]"),"",'Services - Base year'!F61)</f>
        <v/>
      </c>
      <c r="G63" s="15"/>
      <c r="H63" s="239"/>
      <c r="I63" s="239"/>
      <c r="J63" s="239"/>
      <c r="K63" s="239"/>
      <c r="L63" s="239"/>
      <c r="M63" s="239"/>
      <c r="N63" s="239"/>
      <c r="O63" s="239"/>
      <c r="P63" s="239"/>
      <c r="Q63" s="239"/>
      <c r="R63" s="239"/>
      <c r="S63" s="239"/>
      <c r="T63" s="240"/>
      <c r="U63" s="241"/>
      <c r="V63" s="74">
        <f t="shared" si="2"/>
        <v>0</v>
      </c>
      <c r="W63" s="17"/>
    </row>
    <row r="64" spans="1:23" ht="12" customHeight="1" x14ac:dyDescent="0.2">
      <c r="A64" s="6"/>
      <c r="B64" s="6"/>
      <c r="C64" s="13"/>
      <c r="D64" s="19">
        <f t="shared" si="1"/>
        <v>53</v>
      </c>
      <c r="E64" s="67" t="str">
        <f>IF(OR('Services - Base year'!E62="",'Services - Base year'!E62="[Enter service]"),"",'Services - Base year'!E62)</f>
        <v/>
      </c>
      <c r="F64" s="68" t="str">
        <f>IF(OR('Services - Base year'!F62="",'Services - Base year'!F62="[Select]"),"",'Services - Base year'!F62)</f>
        <v/>
      </c>
      <c r="G64" s="15"/>
      <c r="H64" s="239"/>
      <c r="I64" s="239"/>
      <c r="J64" s="239"/>
      <c r="K64" s="239"/>
      <c r="L64" s="239"/>
      <c r="M64" s="239"/>
      <c r="N64" s="239"/>
      <c r="O64" s="239"/>
      <c r="P64" s="239"/>
      <c r="Q64" s="239"/>
      <c r="R64" s="239"/>
      <c r="S64" s="239"/>
      <c r="T64" s="240"/>
      <c r="U64" s="241"/>
      <c r="V64" s="74">
        <f t="shared" si="2"/>
        <v>0</v>
      </c>
      <c r="W64" s="17"/>
    </row>
    <row r="65" spans="1:23" ht="12" customHeight="1" x14ac:dyDescent="0.2">
      <c r="A65" s="6"/>
      <c r="B65" s="6"/>
      <c r="C65" s="13"/>
      <c r="D65" s="19">
        <f t="shared" si="1"/>
        <v>54</v>
      </c>
      <c r="E65" s="67" t="str">
        <f>IF(OR('Services - Base year'!E63="",'Services - Base year'!E63="[Enter service]"),"",'Services - Base year'!E63)</f>
        <v/>
      </c>
      <c r="F65" s="68" t="str">
        <f>IF(OR('Services - Base year'!F63="",'Services - Base year'!F63="[Select]"),"",'Services - Base year'!F63)</f>
        <v/>
      </c>
      <c r="G65" s="15"/>
      <c r="H65" s="239"/>
      <c r="I65" s="239"/>
      <c r="J65" s="239"/>
      <c r="K65" s="239"/>
      <c r="L65" s="239"/>
      <c r="M65" s="239"/>
      <c r="N65" s="239"/>
      <c r="O65" s="239"/>
      <c r="P65" s="239"/>
      <c r="Q65" s="239"/>
      <c r="R65" s="239"/>
      <c r="S65" s="239"/>
      <c r="T65" s="240"/>
      <c r="U65" s="241"/>
      <c r="V65" s="74">
        <f t="shared" si="2"/>
        <v>0</v>
      </c>
      <c r="W65" s="17"/>
    </row>
    <row r="66" spans="1:23" ht="12" customHeight="1" x14ac:dyDescent="0.2">
      <c r="A66" s="6"/>
      <c r="B66" s="6"/>
      <c r="C66" s="13"/>
      <c r="D66" s="19">
        <f t="shared" si="1"/>
        <v>55</v>
      </c>
      <c r="E66" s="67" t="str">
        <f>IF(OR('Services - Base year'!E64="",'Services - Base year'!E64="[Enter service]"),"",'Services - Base year'!E64)</f>
        <v/>
      </c>
      <c r="F66" s="68" t="str">
        <f>IF(OR('Services - Base year'!F64="",'Services - Base year'!F64="[Select]"),"",'Services - Base year'!F64)</f>
        <v/>
      </c>
      <c r="G66" s="15"/>
      <c r="H66" s="239"/>
      <c r="I66" s="239"/>
      <c r="J66" s="239"/>
      <c r="K66" s="239"/>
      <c r="L66" s="239"/>
      <c r="M66" s="239"/>
      <c r="N66" s="239"/>
      <c r="O66" s="239"/>
      <c r="P66" s="239"/>
      <c r="Q66" s="239"/>
      <c r="R66" s="239"/>
      <c r="S66" s="239"/>
      <c r="T66" s="240"/>
      <c r="U66" s="241"/>
      <c r="V66" s="74">
        <f t="shared" si="2"/>
        <v>0</v>
      </c>
      <c r="W66" s="17"/>
    </row>
    <row r="67" spans="1:23" ht="12" customHeight="1" x14ac:dyDescent="0.2">
      <c r="A67" s="6"/>
      <c r="B67" s="6"/>
      <c r="C67" s="13"/>
      <c r="D67" s="19">
        <f t="shared" si="1"/>
        <v>56</v>
      </c>
      <c r="E67" s="67" t="str">
        <f>IF(OR('Services - Base year'!E65="",'Services - Base year'!E65="[Enter service]"),"",'Services - Base year'!E65)</f>
        <v/>
      </c>
      <c r="F67" s="68" t="str">
        <f>IF(OR('Services - Base year'!F65="",'Services - Base year'!F65="[Select]"),"",'Services - Base year'!F65)</f>
        <v/>
      </c>
      <c r="G67" s="15"/>
      <c r="H67" s="239"/>
      <c r="I67" s="239"/>
      <c r="J67" s="239"/>
      <c r="K67" s="239"/>
      <c r="L67" s="239"/>
      <c r="M67" s="239"/>
      <c r="N67" s="239"/>
      <c r="O67" s="239"/>
      <c r="P67" s="239"/>
      <c r="Q67" s="239"/>
      <c r="R67" s="239"/>
      <c r="S67" s="239"/>
      <c r="T67" s="240"/>
      <c r="U67" s="241"/>
      <c r="V67" s="74">
        <f t="shared" si="2"/>
        <v>0</v>
      </c>
      <c r="W67" s="17"/>
    </row>
    <row r="68" spans="1:23" ht="12" customHeight="1" x14ac:dyDescent="0.2">
      <c r="A68" s="6"/>
      <c r="B68" s="6"/>
      <c r="C68" s="13"/>
      <c r="D68" s="19">
        <f t="shared" si="1"/>
        <v>57</v>
      </c>
      <c r="E68" s="67" t="str">
        <f>IF(OR('Services - Base year'!E66="",'Services - Base year'!E66="[Enter service]"),"",'Services - Base year'!E66)</f>
        <v/>
      </c>
      <c r="F68" s="68" t="str">
        <f>IF(OR('Services - Base year'!F66="",'Services - Base year'!F66="[Select]"),"",'Services - Base year'!F66)</f>
        <v/>
      </c>
      <c r="G68" s="15"/>
      <c r="H68" s="239"/>
      <c r="I68" s="239"/>
      <c r="J68" s="239"/>
      <c r="K68" s="239"/>
      <c r="L68" s="239"/>
      <c r="M68" s="239"/>
      <c r="N68" s="239"/>
      <c r="O68" s="239"/>
      <c r="P68" s="239"/>
      <c r="Q68" s="239"/>
      <c r="R68" s="239"/>
      <c r="S68" s="239"/>
      <c r="T68" s="240"/>
      <c r="U68" s="241"/>
      <c r="V68" s="74">
        <f t="shared" si="2"/>
        <v>0</v>
      </c>
      <c r="W68" s="17"/>
    </row>
    <row r="69" spans="1:23" ht="12" customHeight="1" x14ac:dyDescent="0.2">
      <c r="A69" s="6"/>
      <c r="B69" s="6"/>
      <c r="C69" s="13"/>
      <c r="D69" s="19">
        <f t="shared" si="1"/>
        <v>58</v>
      </c>
      <c r="E69" s="67" t="str">
        <f>IF(OR('Services - Base year'!E67="",'Services - Base year'!E67="[Enter service]"),"",'Services - Base year'!E67)</f>
        <v/>
      </c>
      <c r="F69" s="68" t="str">
        <f>IF(OR('Services - Base year'!F67="",'Services - Base year'!F67="[Select]"),"",'Services - Base year'!F67)</f>
        <v/>
      </c>
      <c r="G69" s="15"/>
      <c r="H69" s="239"/>
      <c r="I69" s="239"/>
      <c r="J69" s="239"/>
      <c r="K69" s="239"/>
      <c r="L69" s="239"/>
      <c r="M69" s="239"/>
      <c r="N69" s="239"/>
      <c r="O69" s="239"/>
      <c r="P69" s="239"/>
      <c r="Q69" s="239"/>
      <c r="R69" s="239"/>
      <c r="S69" s="239"/>
      <c r="T69" s="240"/>
      <c r="U69" s="241"/>
      <c r="V69" s="74">
        <f t="shared" si="2"/>
        <v>0</v>
      </c>
      <c r="W69" s="17"/>
    </row>
    <row r="70" spans="1:23" ht="12" customHeight="1" x14ac:dyDescent="0.2">
      <c r="A70" s="6"/>
      <c r="B70" s="6"/>
      <c r="C70" s="13"/>
      <c r="D70" s="19">
        <f t="shared" si="1"/>
        <v>59</v>
      </c>
      <c r="E70" s="67" t="str">
        <f>IF(OR('Services - Base year'!E68="",'Services - Base year'!E68="[Enter service]"),"",'Services - Base year'!E68)</f>
        <v/>
      </c>
      <c r="F70" s="68" t="str">
        <f>IF(OR('Services - Base year'!F68="",'Services - Base year'!F68="[Select]"),"",'Services - Base year'!F68)</f>
        <v/>
      </c>
      <c r="G70" s="15"/>
      <c r="H70" s="239"/>
      <c r="I70" s="239"/>
      <c r="J70" s="239"/>
      <c r="K70" s="239"/>
      <c r="L70" s="239"/>
      <c r="M70" s="239"/>
      <c r="N70" s="239"/>
      <c r="O70" s="239"/>
      <c r="P70" s="239"/>
      <c r="Q70" s="239"/>
      <c r="R70" s="239"/>
      <c r="S70" s="239"/>
      <c r="T70" s="240"/>
      <c r="U70" s="241"/>
      <c r="V70" s="74">
        <f t="shared" si="2"/>
        <v>0</v>
      </c>
      <c r="W70" s="17"/>
    </row>
    <row r="71" spans="1:23" ht="12" customHeight="1" x14ac:dyDescent="0.2">
      <c r="A71" s="6"/>
      <c r="B71" s="6"/>
      <c r="C71" s="13"/>
      <c r="D71" s="19">
        <f t="shared" si="1"/>
        <v>60</v>
      </c>
      <c r="E71" s="67" t="str">
        <f>IF(OR('Services - Base year'!E69="",'Services - Base year'!E69="[Enter service]"),"",'Services - Base year'!E69)</f>
        <v/>
      </c>
      <c r="F71" s="68" t="str">
        <f>IF(OR('Services - Base year'!F69="",'Services - Base year'!F69="[Select]"),"",'Services - Base year'!F69)</f>
        <v/>
      </c>
      <c r="G71" s="15"/>
      <c r="H71" s="239"/>
      <c r="I71" s="239"/>
      <c r="J71" s="239"/>
      <c r="K71" s="239"/>
      <c r="L71" s="239"/>
      <c r="M71" s="239"/>
      <c r="N71" s="239"/>
      <c r="O71" s="239"/>
      <c r="P71" s="239"/>
      <c r="Q71" s="239"/>
      <c r="R71" s="239"/>
      <c r="S71" s="239"/>
      <c r="T71" s="240"/>
      <c r="U71" s="241"/>
      <c r="V71" s="74">
        <f t="shared" si="2"/>
        <v>0</v>
      </c>
      <c r="W71" s="17"/>
    </row>
    <row r="72" spans="1:23" ht="12" customHeight="1" x14ac:dyDescent="0.2">
      <c r="A72" s="6"/>
      <c r="B72" s="6"/>
      <c r="C72" s="13"/>
      <c r="D72" s="19">
        <f t="shared" si="1"/>
        <v>61</v>
      </c>
      <c r="E72" s="67" t="str">
        <f>IF(OR('Services - Base year'!E70="",'Services - Base year'!E70="[Enter service]"),"",'Services - Base year'!E70)</f>
        <v/>
      </c>
      <c r="F72" s="68" t="str">
        <f>IF(OR('Services - Base year'!F70="",'Services - Base year'!F70="[Select]"),"",'Services - Base year'!F70)</f>
        <v/>
      </c>
      <c r="G72" s="15"/>
      <c r="H72" s="239"/>
      <c r="I72" s="239"/>
      <c r="J72" s="239"/>
      <c r="K72" s="239"/>
      <c r="L72" s="239"/>
      <c r="M72" s="239"/>
      <c r="N72" s="239"/>
      <c r="O72" s="239"/>
      <c r="P72" s="239"/>
      <c r="Q72" s="239"/>
      <c r="R72" s="239"/>
      <c r="S72" s="239"/>
      <c r="T72" s="240"/>
      <c r="U72" s="241"/>
      <c r="V72" s="74">
        <f t="shared" si="2"/>
        <v>0</v>
      </c>
      <c r="W72" s="17"/>
    </row>
    <row r="73" spans="1:23" ht="12" customHeight="1" x14ac:dyDescent="0.2">
      <c r="A73" s="6"/>
      <c r="B73" s="6"/>
      <c r="C73" s="13"/>
      <c r="D73" s="19">
        <f t="shared" si="1"/>
        <v>62</v>
      </c>
      <c r="E73" s="67" t="str">
        <f>IF(OR('Services - Base year'!E71="",'Services - Base year'!E71="[Enter service]"),"",'Services - Base year'!E71)</f>
        <v/>
      </c>
      <c r="F73" s="68" t="str">
        <f>IF(OR('Services - Base year'!F71="",'Services - Base year'!F71="[Select]"),"",'Services - Base year'!F71)</f>
        <v/>
      </c>
      <c r="G73" s="15"/>
      <c r="H73" s="239"/>
      <c r="I73" s="239"/>
      <c r="J73" s="239"/>
      <c r="K73" s="239"/>
      <c r="L73" s="239"/>
      <c r="M73" s="239"/>
      <c r="N73" s="239"/>
      <c r="O73" s="239"/>
      <c r="P73" s="239"/>
      <c r="Q73" s="239"/>
      <c r="R73" s="239"/>
      <c r="S73" s="239"/>
      <c r="T73" s="240"/>
      <c r="U73" s="241"/>
      <c r="V73" s="74">
        <f t="shared" si="2"/>
        <v>0</v>
      </c>
      <c r="W73" s="17"/>
    </row>
    <row r="74" spans="1:23" ht="12" customHeight="1" x14ac:dyDescent="0.2">
      <c r="A74" s="6"/>
      <c r="B74" s="6"/>
      <c r="C74" s="13"/>
      <c r="D74" s="19">
        <f t="shared" si="1"/>
        <v>63</v>
      </c>
      <c r="E74" s="67" t="str">
        <f>IF(OR('Services - Base year'!E72="",'Services - Base year'!E72="[Enter service]"),"",'Services - Base year'!E72)</f>
        <v/>
      </c>
      <c r="F74" s="68" t="str">
        <f>IF(OR('Services - Base year'!F72="",'Services - Base year'!F72="[Select]"),"",'Services - Base year'!F72)</f>
        <v/>
      </c>
      <c r="G74" s="15"/>
      <c r="H74" s="239"/>
      <c r="I74" s="239"/>
      <c r="J74" s="239"/>
      <c r="K74" s="239"/>
      <c r="L74" s="239"/>
      <c r="M74" s="239"/>
      <c r="N74" s="239"/>
      <c r="O74" s="239"/>
      <c r="P74" s="239"/>
      <c r="Q74" s="239"/>
      <c r="R74" s="239"/>
      <c r="S74" s="239"/>
      <c r="T74" s="240"/>
      <c r="U74" s="241"/>
      <c r="V74" s="74">
        <f t="shared" si="2"/>
        <v>0</v>
      </c>
      <c r="W74" s="17"/>
    </row>
    <row r="75" spans="1:23" ht="12" customHeight="1" x14ac:dyDescent="0.2">
      <c r="A75" s="6"/>
      <c r="B75" s="6"/>
      <c r="C75" s="13"/>
      <c r="D75" s="19">
        <f t="shared" si="1"/>
        <v>64</v>
      </c>
      <c r="E75" s="67" t="str">
        <f>IF(OR('Services - Base year'!E73="",'Services - Base year'!E73="[Enter service]"),"",'Services - Base year'!E73)</f>
        <v/>
      </c>
      <c r="F75" s="68" t="str">
        <f>IF(OR('Services - Base year'!F73="",'Services - Base year'!F73="[Select]"),"",'Services - Base year'!F73)</f>
        <v/>
      </c>
      <c r="G75" s="15"/>
      <c r="H75" s="239"/>
      <c r="I75" s="239"/>
      <c r="J75" s="239"/>
      <c r="K75" s="239"/>
      <c r="L75" s="239"/>
      <c r="M75" s="239"/>
      <c r="N75" s="239"/>
      <c r="O75" s="239"/>
      <c r="P75" s="239"/>
      <c r="Q75" s="239"/>
      <c r="R75" s="239"/>
      <c r="S75" s="239"/>
      <c r="T75" s="240"/>
      <c r="U75" s="241"/>
      <c r="V75" s="74">
        <f t="shared" si="2"/>
        <v>0</v>
      </c>
      <c r="W75" s="17"/>
    </row>
    <row r="76" spans="1:23" ht="12" customHeight="1" x14ac:dyDescent="0.2">
      <c r="A76" s="6"/>
      <c r="B76" s="6"/>
      <c r="C76" s="13"/>
      <c r="D76" s="19">
        <f t="shared" si="1"/>
        <v>65</v>
      </c>
      <c r="E76" s="67" t="str">
        <f>IF(OR('Services - Base year'!E74="",'Services - Base year'!E74="[Enter service]"),"",'Services - Base year'!E74)</f>
        <v/>
      </c>
      <c r="F76" s="68" t="str">
        <f>IF(OR('Services - Base year'!F74="",'Services - Base year'!F74="[Select]"),"",'Services - Base year'!F74)</f>
        <v/>
      </c>
      <c r="G76" s="15"/>
      <c r="H76" s="239"/>
      <c r="I76" s="239"/>
      <c r="J76" s="239"/>
      <c r="K76" s="239"/>
      <c r="L76" s="239"/>
      <c r="M76" s="239"/>
      <c r="N76" s="239"/>
      <c r="O76" s="239"/>
      <c r="P76" s="239"/>
      <c r="Q76" s="239"/>
      <c r="R76" s="239"/>
      <c r="S76" s="239"/>
      <c r="T76" s="240"/>
      <c r="U76" s="241"/>
      <c r="V76" s="74">
        <f t="shared" ref="V76:V107" si="3">SUM(H76:U76)</f>
        <v>0</v>
      </c>
      <c r="W76" s="17"/>
    </row>
    <row r="77" spans="1:23" ht="12" customHeight="1" x14ac:dyDescent="0.2">
      <c r="A77" s="6"/>
      <c r="B77" s="6"/>
      <c r="C77" s="13"/>
      <c r="D77" s="19">
        <f t="shared" si="1"/>
        <v>66</v>
      </c>
      <c r="E77" s="67" t="str">
        <f>IF(OR('Services - Base year'!E75="",'Services - Base year'!E75="[Enter service]"),"",'Services - Base year'!E75)</f>
        <v/>
      </c>
      <c r="F77" s="68" t="str">
        <f>IF(OR('Services - Base year'!F75="",'Services - Base year'!F75="[Select]"),"",'Services - Base year'!F75)</f>
        <v/>
      </c>
      <c r="G77" s="15"/>
      <c r="H77" s="239"/>
      <c r="I77" s="239"/>
      <c r="J77" s="239"/>
      <c r="K77" s="239"/>
      <c r="L77" s="239"/>
      <c r="M77" s="239"/>
      <c r="N77" s="239"/>
      <c r="O77" s="239"/>
      <c r="P77" s="239"/>
      <c r="Q77" s="239"/>
      <c r="R77" s="239"/>
      <c r="S77" s="239"/>
      <c r="T77" s="240"/>
      <c r="U77" s="241"/>
      <c r="V77" s="74">
        <f t="shared" si="3"/>
        <v>0</v>
      </c>
      <c r="W77" s="17"/>
    </row>
    <row r="78" spans="1:23" ht="12" customHeight="1" x14ac:dyDescent="0.2">
      <c r="A78" s="6"/>
      <c r="B78" s="6"/>
      <c r="C78" s="13"/>
      <c r="D78" s="19">
        <f t="shared" ref="D78:D141" si="4">D77+1</f>
        <v>67</v>
      </c>
      <c r="E78" s="67" t="str">
        <f>IF(OR('Services - Base year'!E76="",'Services - Base year'!E76="[Enter service]"),"",'Services - Base year'!E76)</f>
        <v/>
      </c>
      <c r="F78" s="68" t="str">
        <f>IF(OR('Services - Base year'!F76="",'Services - Base year'!F76="[Select]"),"",'Services - Base year'!F76)</f>
        <v/>
      </c>
      <c r="G78" s="15"/>
      <c r="H78" s="239"/>
      <c r="I78" s="239"/>
      <c r="J78" s="239"/>
      <c r="K78" s="239"/>
      <c r="L78" s="239"/>
      <c r="M78" s="239"/>
      <c r="N78" s="239"/>
      <c r="O78" s="239"/>
      <c r="P78" s="239"/>
      <c r="Q78" s="239"/>
      <c r="R78" s="239"/>
      <c r="S78" s="239"/>
      <c r="T78" s="240"/>
      <c r="U78" s="241"/>
      <c r="V78" s="74">
        <f t="shared" si="3"/>
        <v>0</v>
      </c>
      <c r="W78" s="17"/>
    </row>
    <row r="79" spans="1:23" ht="12" customHeight="1" x14ac:dyDescent="0.2">
      <c r="A79" s="6"/>
      <c r="B79" s="6"/>
      <c r="C79" s="13"/>
      <c r="D79" s="19">
        <f t="shared" si="4"/>
        <v>68</v>
      </c>
      <c r="E79" s="67" t="str">
        <f>IF(OR('Services - Base year'!E77="",'Services - Base year'!E77="[Enter service]"),"",'Services - Base year'!E77)</f>
        <v/>
      </c>
      <c r="F79" s="68" t="str">
        <f>IF(OR('Services - Base year'!F77="",'Services - Base year'!F77="[Select]"),"",'Services - Base year'!F77)</f>
        <v/>
      </c>
      <c r="G79" s="15"/>
      <c r="H79" s="239"/>
      <c r="I79" s="239"/>
      <c r="J79" s="239"/>
      <c r="K79" s="239"/>
      <c r="L79" s="239"/>
      <c r="M79" s="239"/>
      <c r="N79" s="239"/>
      <c r="O79" s="239"/>
      <c r="P79" s="239"/>
      <c r="Q79" s="239"/>
      <c r="R79" s="239"/>
      <c r="S79" s="239"/>
      <c r="T79" s="240"/>
      <c r="U79" s="241"/>
      <c r="V79" s="74">
        <f t="shared" si="3"/>
        <v>0</v>
      </c>
      <c r="W79" s="17"/>
    </row>
    <row r="80" spans="1:23" ht="12" customHeight="1" x14ac:dyDescent="0.2">
      <c r="A80" s="6"/>
      <c r="B80" s="6"/>
      <c r="C80" s="13"/>
      <c r="D80" s="19">
        <f t="shared" si="4"/>
        <v>69</v>
      </c>
      <c r="E80" s="67" t="str">
        <f>IF(OR('Services - Base year'!E78="",'Services - Base year'!E78="[Enter service]"),"",'Services - Base year'!E78)</f>
        <v/>
      </c>
      <c r="F80" s="68" t="str">
        <f>IF(OR('Services - Base year'!F78="",'Services - Base year'!F78="[Select]"),"",'Services - Base year'!F78)</f>
        <v/>
      </c>
      <c r="G80" s="15"/>
      <c r="H80" s="239"/>
      <c r="I80" s="239"/>
      <c r="J80" s="239"/>
      <c r="K80" s="239"/>
      <c r="L80" s="239"/>
      <c r="M80" s="239"/>
      <c r="N80" s="239"/>
      <c r="O80" s="239"/>
      <c r="P80" s="239"/>
      <c r="Q80" s="239"/>
      <c r="R80" s="239"/>
      <c r="S80" s="239"/>
      <c r="T80" s="240"/>
      <c r="U80" s="241"/>
      <c r="V80" s="74">
        <f t="shared" si="3"/>
        <v>0</v>
      </c>
      <c r="W80" s="17"/>
    </row>
    <row r="81" spans="1:23" ht="12" customHeight="1" x14ac:dyDescent="0.2">
      <c r="A81" s="6"/>
      <c r="B81" s="6"/>
      <c r="C81" s="13"/>
      <c r="D81" s="19">
        <f t="shared" si="4"/>
        <v>70</v>
      </c>
      <c r="E81" s="67" t="str">
        <f>IF(OR('Services - Base year'!E79="",'Services - Base year'!E79="[Enter service]"),"",'Services - Base year'!E79)</f>
        <v/>
      </c>
      <c r="F81" s="68" t="str">
        <f>IF(OR('Services - Base year'!F79="",'Services - Base year'!F79="[Select]"),"",'Services - Base year'!F79)</f>
        <v/>
      </c>
      <c r="G81" s="15"/>
      <c r="H81" s="239"/>
      <c r="I81" s="239"/>
      <c r="J81" s="239"/>
      <c r="K81" s="239"/>
      <c r="L81" s="239"/>
      <c r="M81" s="239"/>
      <c r="N81" s="239"/>
      <c r="O81" s="239"/>
      <c r="P81" s="239"/>
      <c r="Q81" s="239"/>
      <c r="R81" s="239"/>
      <c r="S81" s="239"/>
      <c r="T81" s="240"/>
      <c r="U81" s="241"/>
      <c r="V81" s="74">
        <f t="shared" si="3"/>
        <v>0</v>
      </c>
      <c r="W81" s="17"/>
    </row>
    <row r="82" spans="1:23" ht="12" customHeight="1" x14ac:dyDescent="0.2">
      <c r="A82" s="6"/>
      <c r="B82" s="6"/>
      <c r="C82" s="13"/>
      <c r="D82" s="19">
        <f t="shared" si="4"/>
        <v>71</v>
      </c>
      <c r="E82" s="67" t="str">
        <f>IF(OR('Services - Base year'!E80="",'Services - Base year'!E80="[Enter service]"),"",'Services - Base year'!E80)</f>
        <v/>
      </c>
      <c r="F82" s="68" t="str">
        <f>IF(OR('Services - Base year'!F80="",'Services - Base year'!F80="[Select]"),"",'Services - Base year'!F80)</f>
        <v/>
      </c>
      <c r="G82" s="15"/>
      <c r="H82" s="239"/>
      <c r="I82" s="239"/>
      <c r="J82" s="239"/>
      <c r="K82" s="239"/>
      <c r="L82" s="239"/>
      <c r="M82" s="239"/>
      <c r="N82" s="239"/>
      <c r="O82" s="239"/>
      <c r="P82" s="239"/>
      <c r="Q82" s="239"/>
      <c r="R82" s="239"/>
      <c r="S82" s="239"/>
      <c r="T82" s="240"/>
      <c r="U82" s="241"/>
      <c r="V82" s="74">
        <f t="shared" si="3"/>
        <v>0</v>
      </c>
      <c r="W82" s="17"/>
    </row>
    <row r="83" spans="1:23" ht="12" customHeight="1" x14ac:dyDescent="0.2">
      <c r="A83" s="6"/>
      <c r="B83" s="6"/>
      <c r="C83" s="13"/>
      <c r="D83" s="19">
        <f t="shared" si="4"/>
        <v>72</v>
      </c>
      <c r="E83" s="67" t="str">
        <f>IF(OR('Services - Base year'!E81="",'Services - Base year'!E81="[Enter service]"),"",'Services - Base year'!E81)</f>
        <v/>
      </c>
      <c r="F83" s="68" t="str">
        <f>IF(OR('Services - Base year'!F81="",'Services - Base year'!F81="[Select]"),"",'Services - Base year'!F81)</f>
        <v/>
      </c>
      <c r="G83" s="15"/>
      <c r="H83" s="239"/>
      <c r="I83" s="239"/>
      <c r="J83" s="239"/>
      <c r="K83" s="239"/>
      <c r="L83" s="239"/>
      <c r="M83" s="239"/>
      <c r="N83" s="239"/>
      <c r="O83" s="239"/>
      <c r="P83" s="239"/>
      <c r="Q83" s="239"/>
      <c r="R83" s="239"/>
      <c r="S83" s="239"/>
      <c r="T83" s="240"/>
      <c r="U83" s="241"/>
      <c r="V83" s="74">
        <f t="shared" si="3"/>
        <v>0</v>
      </c>
      <c r="W83" s="17"/>
    </row>
    <row r="84" spans="1:23" ht="12" customHeight="1" x14ac:dyDescent="0.2">
      <c r="A84" s="6"/>
      <c r="B84" s="6"/>
      <c r="C84" s="13"/>
      <c r="D84" s="19">
        <f t="shared" si="4"/>
        <v>73</v>
      </c>
      <c r="E84" s="67" t="str">
        <f>IF(OR('Services - Base year'!E82="",'Services - Base year'!E82="[Enter service]"),"",'Services - Base year'!E82)</f>
        <v/>
      </c>
      <c r="F84" s="68" t="str">
        <f>IF(OR('Services - Base year'!F82="",'Services - Base year'!F82="[Select]"),"",'Services - Base year'!F82)</f>
        <v/>
      </c>
      <c r="G84" s="15"/>
      <c r="H84" s="239"/>
      <c r="I84" s="239"/>
      <c r="J84" s="239"/>
      <c r="K84" s="239"/>
      <c r="L84" s="239"/>
      <c r="M84" s="239"/>
      <c r="N84" s="239"/>
      <c r="O84" s="239"/>
      <c r="P84" s="239"/>
      <c r="Q84" s="239"/>
      <c r="R84" s="239"/>
      <c r="S84" s="239"/>
      <c r="T84" s="240"/>
      <c r="U84" s="241"/>
      <c r="V84" s="74">
        <f t="shared" si="3"/>
        <v>0</v>
      </c>
      <c r="W84" s="17"/>
    </row>
    <row r="85" spans="1:23" ht="12" customHeight="1" x14ac:dyDescent="0.2">
      <c r="A85" s="6"/>
      <c r="B85" s="6"/>
      <c r="C85" s="13"/>
      <c r="D85" s="19">
        <f t="shared" si="4"/>
        <v>74</v>
      </c>
      <c r="E85" s="67" t="str">
        <f>IF(OR('Services - Base year'!E83="",'Services - Base year'!E83="[Enter service]"),"",'Services - Base year'!E83)</f>
        <v/>
      </c>
      <c r="F85" s="68" t="str">
        <f>IF(OR('Services - Base year'!F83="",'Services - Base year'!F83="[Select]"),"",'Services - Base year'!F83)</f>
        <v/>
      </c>
      <c r="G85" s="15"/>
      <c r="H85" s="239"/>
      <c r="I85" s="239"/>
      <c r="J85" s="239"/>
      <c r="K85" s="239"/>
      <c r="L85" s="239"/>
      <c r="M85" s="239"/>
      <c r="N85" s="239"/>
      <c r="O85" s="239"/>
      <c r="P85" s="239"/>
      <c r="Q85" s="239"/>
      <c r="R85" s="239"/>
      <c r="S85" s="239"/>
      <c r="T85" s="240"/>
      <c r="U85" s="241"/>
      <c r="V85" s="74">
        <f t="shared" si="3"/>
        <v>0</v>
      </c>
      <c r="W85" s="17"/>
    </row>
    <row r="86" spans="1:23" ht="12" customHeight="1" x14ac:dyDescent="0.2">
      <c r="A86" s="6"/>
      <c r="B86" s="6"/>
      <c r="C86" s="13"/>
      <c r="D86" s="19">
        <f t="shared" si="4"/>
        <v>75</v>
      </c>
      <c r="E86" s="67" t="str">
        <f>IF(OR('Services - Base year'!E84="",'Services - Base year'!E84="[Enter service]"),"",'Services - Base year'!E84)</f>
        <v/>
      </c>
      <c r="F86" s="68" t="str">
        <f>IF(OR('Services - Base year'!F84="",'Services - Base year'!F84="[Select]"),"",'Services - Base year'!F84)</f>
        <v/>
      </c>
      <c r="G86" s="15"/>
      <c r="H86" s="239"/>
      <c r="I86" s="239"/>
      <c r="J86" s="239"/>
      <c r="K86" s="239"/>
      <c r="L86" s="239"/>
      <c r="M86" s="239"/>
      <c r="N86" s="239"/>
      <c r="O86" s="239"/>
      <c r="P86" s="239"/>
      <c r="Q86" s="239"/>
      <c r="R86" s="239"/>
      <c r="S86" s="239"/>
      <c r="T86" s="240"/>
      <c r="U86" s="241"/>
      <c r="V86" s="74">
        <f t="shared" si="3"/>
        <v>0</v>
      </c>
      <c r="W86" s="17"/>
    </row>
    <row r="87" spans="1:23" ht="12" customHeight="1" x14ac:dyDescent="0.2">
      <c r="A87" s="6"/>
      <c r="B87" s="6"/>
      <c r="C87" s="13"/>
      <c r="D87" s="19">
        <f t="shared" si="4"/>
        <v>76</v>
      </c>
      <c r="E87" s="67" t="str">
        <f>IF(OR('Services - Base year'!E85="",'Services - Base year'!E85="[Enter service]"),"",'Services - Base year'!E85)</f>
        <v/>
      </c>
      <c r="F87" s="68" t="str">
        <f>IF(OR('Services - Base year'!F85="",'Services - Base year'!F85="[Select]"),"",'Services - Base year'!F85)</f>
        <v/>
      </c>
      <c r="G87" s="15"/>
      <c r="H87" s="239"/>
      <c r="I87" s="239"/>
      <c r="J87" s="239"/>
      <c r="K87" s="239"/>
      <c r="L87" s="239"/>
      <c r="M87" s="239"/>
      <c r="N87" s="239"/>
      <c r="O87" s="239"/>
      <c r="P87" s="239"/>
      <c r="Q87" s="239"/>
      <c r="R87" s="239"/>
      <c r="S87" s="239"/>
      <c r="T87" s="240"/>
      <c r="U87" s="241"/>
      <c r="V87" s="74">
        <f t="shared" si="3"/>
        <v>0</v>
      </c>
      <c r="W87" s="17"/>
    </row>
    <row r="88" spans="1:23" ht="12" customHeight="1" x14ac:dyDescent="0.2">
      <c r="A88" s="6"/>
      <c r="B88" s="6"/>
      <c r="C88" s="13"/>
      <c r="D88" s="19">
        <f t="shared" si="4"/>
        <v>77</v>
      </c>
      <c r="E88" s="67" t="str">
        <f>IF(OR('Services - Base year'!E86="",'Services - Base year'!E86="[Enter service]"),"",'Services - Base year'!E86)</f>
        <v/>
      </c>
      <c r="F88" s="68" t="str">
        <f>IF(OR('Services - Base year'!F86="",'Services - Base year'!F86="[Select]"),"",'Services - Base year'!F86)</f>
        <v/>
      </c>
      <c r="G88" s="15"/>
      <c r="H88" s="239"/>
      <c r="I88" s="239"/>
      <c r="J88" s="239"/>
      <c r="K88" s="239"/>
      <c r="L88" s="239"/>
      <c r="M88" s="239"/>
      <c r="N88" s="239"/>
      <c r="O88" s="239"/>
      <c r="P88" s="239"/>
      <c r="Q88" s="239"/>
      <c r="R88" s="239"/>
      <c r="S88" s="239"/>
      <c r="T88" s="240"/>
      <c r="U88" s="241"/>
      <c r="V88" s="74">
        <f t="shared" si="3"/>
        <v>0</v>
      </c>
      <c r="W88" s="17"/>
    </row>
    <row r="89" spans="1:23" ht="12" customHeight="1" x14ac:dyDescent="0.2">
      <c r="A89" s="6"/>
      <c r="B89" s="6"/>
      <c r="C89" s="13"/>
      <c r="D89" s="19">
        <f t="shared" si="4"/>
        <v>78</v>
      </c>
      <c r="E89" s="67" t="str">
        <f>IF(OR('Services - Base year'!E87="",'Services - Base year'!E87="[Enter service]"),"",'Services - Base year'!E87)</f>
        <v/>
      </c>
      <c r="F89" s="68" t="str">
        <f>IF(OR('Services - Base year'!F87="",'Services - Base year'!F87="[Select]"),"",'Services - Base year'!F87)</f>
        <v/>
      </c>
      <c r="G89" s="15"/>
      <c r="H89" s="239"/>
      <c r="I89" s="239"/>
      <c r="J89" s="239"/>
      <c r="K89" s="239"/>
      <c r="L89" s="239"/>
      <c r="M89" s="239"/>
      <c r="N89" s="239"/>
      <c r="O89" s="239"/>
      <c r="P89" s="239"/>
      <c r="Q89" s="239"/>
      <c r="R89" s="239"/>
      <c r="S89" s="239"/>
      <c r="T89" s="240"/>
      <c r="U89" s="241"/>
      <c r="V89" s="74">
        <f t="shared" si="3"/>
        <v>0</v>
      </c>
      <c r="W89" s="17"/>
    </row>
    <row r="90" spans="1:23" ht="12" customHeight="1" x14ac:dyDescent="0.2">
      <c r="A90" s="6"/>
      <c r="B90" s="6"/>
      <c r="C90" s="13"/>
      <c r="D90" s="19">
        <f t="shared" si="4"/>
        <v>79</v>
      </c>
      <c r="E90" s="67" t="str">
        <f>IF(OR('Services - Base year'!E88="",'Services - Base year'!E88="[Enter service]"),"",'Services - Base year'!E88)</f>
        <v/>
      </c>
      <c r="F90" s="68" t="str">
        <f>IF(OR('Services - Base year'!F88="",'Services - Base year'!F88="[Select]"),"",'Services - Base year'!F88)</f>
        <v/>
      </c>
      <c r="G90" s="15"/>
      <c r="H90" s="239"/>
      <c r="I90" s="239"/>
      <c r="J90" s="239"/>
      <c r="K90" s="239"/>
      <c r="L90" s="239"/>
      <c r="M90" s="239"/>
      <c r="N90" s="239"/>
      <c r="O90" s="239"/>
      <c r="P90" s="239"/>
      <c r="Q90" s="239"/>
      <c r="R90" s="239"/>
      <c r="S90" s="239"/>
      <c r="T90" s="240"/>
      <c r="U90" s="241"/>
      <c r="V90" s="74">
        <f t="shared" si="3"/>
        <v>0</v>
      </c>
      <c r="W90" s="17"/>
    </row>
    <row r="91" spans="1:23" ht="12" customHeight="1" x14ac:dyDescent="0.2">
      <c r="A91" s="6"/>
      <c r="B91" s="6"/>
      <c r="C91" s="13"/>
      <c r="D91" s="19">
        <f t="shared" si="4"/>
        <v>80</v>
      </c>
      <c r="E91" s="67" t="str">
        <f>IF(OR('Services - Base year'!E89="",'Services - Base year'!E89="[Enter service]"),"",'Services - Base year'!E89)</f>
        <v/>
      </c>
      <c r="F91" s="68" t="str">
        <f>IF(OR('Services - Base year'!F89="",'Services - Base year'!F89="[Select]"),"",'Services - Base year'!F89)</f>
        <v/>
      </c>
      <c r="G91" s="15"/>
      <c r="H91" s="239"/>
      <c r="I91" s="239"/>
      <c r="J91" s="239"/>
      <c r="K91" s="239"/>
      <c r="L91" s="239"/>
      <c r="M91" s="239"/>
      <c r="N91" s="239"/>
      <c r="O91" s="239"/>
      <c r="P91" s="239"/>
      <c r="Q91" s="239"/>
      <c r="R91" s="239"/>
      <c r="S91" s="239"/>
      <c r="T91" s="240"/>
      <c r="U91" s="241"/>
      <c r="V91" s="74">
        <f t="shared" si="3"/>
        <v>0</v>
      </c>
      <c r="W91" s="17"/>
    </row>
    <row r="92" spans="1:23" ht="12" customHeight="1" x14ac:dyDescent="0.2">
      <c r="A92" s="6"/>
      <c r="B92" s="6"/>
      <c r="C92" s="13"/>
      <c r="D92" s="19">
        <f t="shared" si="4"/>
        <v>81</v>
      </c>
      <c r="E92" s="67" t="str">
        <f>IF(OR('Services - Base year'!E90="",'Services - Base year'!E90="[Enter service]"),"",'Services - Base year'!E90)</f>
        <v/>
      </c>
      <c r="F92" s="68" t="str">
        <f>IF(OR('Services - Base year'!F90="",'Services - Base year'!F90="[Select]"),"",'Services - Base year'!F90)</f>
        <v/>
      </c>
      <c r="G92" s="15"/>
      <c r="H92" s="239"/>
      <c r="I92" s="239"/>
      <c r="J92" s="239"/>
      <c r="K92" s="239"/>
      <c r="L92" s="239"/>
      <c r="M92" s="239"/>
      <c r="N92" s="239"/>
      <c r="O92" s="239"/>
      <c r="P92" s="239"/>
      <c r="Q92" s="239"/>
      <c r="R92" s="239"/>
      <c r="S92" s="239"/>
      <c r="T92" s="240"/>
      <c r="U92" s="241"/>
      <c r="V92" s="74">
        <f t="shared" si="3"/>
        <v>0</v>
      </c>
      <c r="W92" s="17"/>
    </row>
    <row r="93" spans="1:23" ht="12" customHeight="1" x14ac:dyDescent="0.2">
      <c r="A93" s="6"/>
      <c r="B93" s="6"/>
      <c r="C93" s="13"/>
      <c r="D93" s="19">
        <f t="shared" si="4"/>
        <v>82</v>
      </c>
      <c r="E93" s="67" t="str">
        <f>IF(OR('Services - Base year'!E91="",'Services - Base year'!E91="[Enter service]"),"",'Services - Base year'!E91)</f>
        <v/>
      </c>
      <c r="F93" s="68" t="str">
        <f>IF(OR('Services - Base year'!F91="",'Services - Base year'!F91="[Select]"),"",'Services - Base year'!F91)</f>
        <v/>
      </c>
      <c r="G93" s="15"/>
      <c r="H93" s="239"/>
      <c r="I93" s="239"/>
      <c r="J93" s="239"/>
      <c r="K93" s="239"/>
      <c r="L93" s="239"/>
      <c r="M93" s="239"/>
      <c r="N93" s="239"/>
      <c r="O93" s="239"/>
      <c r="P93" s="239"/>
      <c r="Q93" s="239"/>
      <c r="R93" s="239"/>
      <c r="S93" s="239"/>
      <c r="T93" s="240"/>
      <c r="U93" s="241"/>
      <c r="V93" s="74">
        <f t="shared" si="3"/>
        <v>0</v>
      </c>
      <c r="W93" s="17"/>
    </row>
    <row r="94" spans="1:23" ht="12" customHeight="1" x14ac:dyDescent="0.2">
      <c r="A94" s="6"/>
      <c r="B94" s="6"/>
      <c r="C94" s="13"/>
      <c r="D94" s="19">
        <f t="shared" si="4"/>
        <v>83</v>
      </c>
      <c r="E94" s="67" t="str">
        <f>IF(OR('Services - Base year'!E92="",'Services - Base year'!E92="[Enter service]"),"",'Services - Base year'!E92)</f>
        <v/>
      </c>
      <c r="F94" s="68" t="str">
        <f>IF(OR('Services - Base year'!F92="",'Services - Base year'!F92="[Select]"),"",'Services - Base year'!F92)</f>
        <v/>
      </c>
      <c r="G94" s="15"/>
      <c r="H94" s="239"/>
      <c r="I94" s="239"/>
      <c r="J94" s="239"/>
      <c r="K94" s="239"/>
      <c r="L94" s="239"/>
      <c r="M94" s="239"/>
      <c r="N94" s="239"/>
      <c r="O94" s="239"/>
      <c r="P94" s="239"/>
      <c r="Q94" s="239"/>
      <c r="R94" s="239"/>
      <c r="S94" s="239"/>
      <c r="T94" s="240"/>
      <c r="U94" s="241"/>
      <c r="V94" s="74">
        <f t="shared" si="3"/>
        <v>0</v>
      </c>
      <c r="W94" s="17"/>
    </row>
    <row r="95" spans="1:23" ht="12" customHeight="1" x14ac:dyDescent="0.2">
      <c r="A95" s="6"/>
      <c r="B95" s="6"/>
      <c r="C95" s="13"/>
      <c r="D95" s="19">
        <f t="shared" si="4"/>
        <v>84</v>
      </c>
      <c r="E95" s="67" t="str">
        <f>IF(OR('Services - Base year'!E93="",'Services - Base year'!E93="[Enter service]"),"",'Services - Base year'!E93)</f>
        <v/>
      </c>
      <c r="F95" s="68" t="str">
        <f>IF(OR('Services - Base year'!F93="",'Services - Base year'!F93="[Select]"),"",'Services - Base year'!F93)</f>
        <v/>
      </c>
      <c r="G95" s="15"/>
      <c r="H95" s="239"/>
      <c r="I95" s="239"/>
      <c r="J95" s="239"/>
      <c r="K95" s="239"/>
      <c r="L95" s="239"/>
      <c r="M95" s="239"/>
      <c r="N95" s="239"/>
      <c r="O95" s="239"/>
      <c r="P95" s="239"/>
      <c r="Q95" s="239"/>
      <c r="R95" s="239"/>
      <c r="S95" s="239"/>
      <c r="T95" s="240"/>
      <c r="U95" s="241"/>
      <c r="V95" s="74">
        <f t="shared" si="3"/>
        <v>0</v>
      </c>
      <c r="W95" s="17"/>
    </row>
    <row r="96" spans="1:23" ht="12" customHeight="1" x14ac:dyDescent="0.2">
      <c r="A96" s="6"/>
      <c r="B96" s="6"/>
      <c r="C96" s="13"/>
      <c r="D96" s="19">
        <f t="shared" si="4"/>
        <v>85</v>
      </c>
      <c r="E96" s="67" t="str">
        <f>IF(OR('Services - Base year'!E94="",'Services - Base year'!E94="[Enter service]"),"",'Services - Base year'!E94)</f>
        <v/>
      </c>
      <c r="F96" s="68" t="str">
        <f>IF(OR('Services - Base year'!F94="",'Services - Base year'!F94="[Select]"),"",'Services - Base year'!F94)</f>
        <v/>
      </c>
      <c r="G96" s="15"/>
      <c r="H96" s="239"/>
      <c r="I96" s="239"/>
      <c r="J96" s="239"/>
      <c r="K96" s="239"/>
      <c r="L96" s="239"/>
      <c r="M96" s="239"/>
      <c r="N96" s="239"/>
      <c r="O96" s="239"/>
      <c r="P96" s="239"/>
      <c r="Q96" s="239"/>
      <c r="R96" s="239"/>
      <c r="S96" s="239"/>
      <c r="T96" s="240"/>
      <c r="U96" s="241"/>
      <c r="V96" s="74">
        <f t="shared" si="3"/>
        <v>0</v>
      </c>
      <c r="W96" s="17"/>
    </row>
    <row r="97" spans="1:23" ht="12" customHeight="1" x14ac:dyDescent="0.2">
      <c r="A97" s="6"/>
      <c r="B97" s="6"/>
      <c r="C97" s="13"/>
      <c r="D97" s="19">
        <f t="shared" si="4"/>
        <v>86</v>
      </c>
      <c r="E97" s="67" t="str">
        <f>IF(OR('Services - Base year'!E95="",'Services - Base year'!E95="[Enter service]"),"",'Services - Base year'!E95)</f>
        <v/>
      </c>
      <c r="F97" s="68" t="str">
        <f>IF(OR('Services - Base year'!F95="",'Services - Base year'!F95="[Select]"),"",'Services - Base year'!F95)</f>
        <v/>
      </c>
      <c r="G97" s="15"/>
      <c r="H97" s="239"/>
      <c r="I97" s="239"/>
      <c r="J97" s="239"/>
      <c r="K97" s="239"/>
      <c r="L97" s="239"/>
      <c r="M97" s="239"/>
      <c r="N97" s="239"/>
      <c r="O97" s="239"/>
      <c r="P97" s="239"/>
      <c r="Q97" s="239"/>
      <c r="R97" s="239"/>
      <c r="S97" s="239"/>
      <c r="T97" s="240"/>
      <c r="U97" s="241"/>
      <c r="V97" s="74">
        <f t="shared" si="3"/>
        <v>0</v>
      </c>
      <c r="W97" s="17"/>
    </row>
    <row r="98" spans="1:23" ht="12" customHeight="1" x14ac:dyDescent="0.2">
      <c r="A98" s="6"/>
      <c r="B98" s="6"/>
      <c r="C98" s="13"/>
      <c r="D98" s="19">
        <f t="shared" si="4"/>
        <v>87</v>
      </c>
      <c r="E98" s="67" t="str">
        <f>IF(OR('Services - Base year'!E96="",'Services - Base year'!E96="[Enter service]"),"",'Services - Base year'!E96)</f>
        <v/>
      </c>
      <c r="F98" s="68" t="str">
        <f>IF(OR('Services - Base year'!F96="",'Services - Base year'!F96="[Select]"),"",'Services - Base year'!F96)</f>
        <v/>
      </c>
      <c r="G98" s="15"/>
      <c r="H98" s="239"/>
      <c r="I98" s="239"/>
      <c r="J98" s="239"/>
      <c r="K98" s="239"/>
      <c r="L98" s="239"/>
      <c r="M98" s="239"/>
      <c r="N98" s="239"/>
      <c r="O98" s="239"/>
      <c r="P98" s="239"/>
      <c r="Q98" s="239"/>
      <c r="R98" s="239"/>
      <c r="S98" s="239"/>
      <c r="T98" s="240"/>
      <c r="U98" s="241"/>
      <c r="V98" s="74">
        <f t="shared" si="3"/>
        <v>0</v>
      </c>
      <c r="W98" s="17"/>
    </row>
    <row r="99" spans="1:23" ht="12" customHeight="1" x14ac:dyDescent="0.2">
      <c r="A99" s="6"/>
      <c r="B99" s="6"/>
      <c r="C99" s="13"/>
      <c r="D99" s="19">
        <f t="shared" si="4"/>
        <v>88</v>
      </c>
      <c r="E99" s="67" t="str">
        <f>IF(OR('Services - Base year'!E97="",'Services - Base year'!E97="[Enter service]"),"",'Services - Base year'!E97)</f>
        <v/>
      </c>
      <c r="F99" s="68" t="str">
        <f>IF(OR('Services - Base year'!F97="",'Services - Base year'!F97="[Select]"),"",'Services - Base year'!F97)</f>
        <v/>
      </c>
      <c r="G99" s="15"/>
      <c r="H99" s="239"/>
      <c r="I99" s="239"/>
      <c r="J99" s="239"/>
      <c r="K99" s="239"/>
      <c r="L99" s="239"/>
      <c r="M99" s="239"/>
      <c r="N99" s="239"/>
      <c r="O99" s="239"/>
      <c r="P99" s="239"/>
      <c r="Q99" s="239"/>
      <c r="R99" s="239"/>
      <c r="S99" s="239"/>
      <c r="T99" s="240"/>
      <c r="U99" s="241"/>
      <c r="V99" s="74">
        <f t="shared" si="3"/>
        <v>0</v>
      </c>
      <c r="W99" s="17"/>
    </row>
    <row r="100" spans="1:23" ht="12" customHeight="1" x14ac:dyDescent="0.2">
      <c r="A100" s="6"/>
      <c r="B100" s="6"/>
      <c r="C100" s="13"/>
      <c r="D100" s="19">
        <f t="shared" si="4"/>
        <v>89</v>
      </c>
      <c r="E100" s="67" t="str">
        <f>IF(OR('Services - Base year'!E98="",'Services - Base year'!E98="[Enter service]"),"",'Services - Base year'!E98)</f>
        <v/>
      </c>
      <c r="F100" s="68" t="str">
        <f>IF(OR('Services - Base year'!F98="",'Services - Base year'!F98="[Select]"),"",'Services - Base year'!F98)</f>
        <v/>
      </c>
      <c r="G100" s="15"/>
      <c r="H100" s="239"/>
      <c r="I100" s="239"/>
      <c r="J100" s="239"/>
      <c r="K100" s="239"/>
      <c r="L100" s="239"/>
      <c r="M100" s="239"/>
      <c r="N100" s="239"/>
      <c r="O100" s="239"/>
      <c r="P100" s="239"/>
      <c r="Q100" s="239"/>
      <c r="R100" s="239"/>
      <c r="S100" s="239"/>
      <c r="T100" s="240"/>
      <c r="U100" s="241"/>
      <c r="V100" s="74">
        <f t="shared" si="3"/>
        <v>0</v>
      </c>
      <c r="W100" s="17"/>
    </row>
    <row r="101" spans="1:23" ht="12" customHeight="1" x14ac:dyDescent="0.2">
      <c r="A101" s="6"/>
      <c r="B101" s="6"/>
      <c r="C101" s="13"/>
      <c r="D101" s="19">
        <f t="shared" si="4"/>
        <v>90</v>
      </c>
      <c r="E101" s="67" t="str">
        <f>IF(OR('Services - Base year'!E99="",'Services - Base year'!E99="[Enter service]"),"",'Services - Base year'!E99)</f>
        <v/>
      </c>
      <c r="F101" s="68" t="str">
        <f>IF(OR('Services - Base year'!F99="",'Services - Base year'!F99="[Select]"),"",'Services - Base year'!F99)</f>
        <v/>
      </c>
      <c r="G101" s="15"/>
      <c r="H101" s="239"/>
      <c r="I101" s="239"/>
      <c r="J101" s="239"/>
      <c r="K101" s="239"/>
      <c r="L101" s="239"/>
      <c r="M101" s="239"/>
      <c r="N101" s="239"/>
      <c r="O101" s="239"/>
      <c r="P101" s="239"/>
      <c r="Q101" s="239"/>
      <c r="R101" s="239"/>
      <c r="S101" s="239"/>
      <c r="T101" s="240"/>
      <c r="U101" s="241"/>
      <c r="V101" s="74">
        <f t="shared" si="3"/>
        <v>0</v>
      </c>
      <c r="W101" s="17"/>
    </row>
    <row r="102" spans="1:23" ht="12" customHeight="1" x14ac:dyDescent="0.2">
      <c r="A102" s="6"/>
      <c r="B102" s="6"/>
      <c r="C102" s="13"/>
      <c r="D102" s="19">
        <f t="shared" si="4"/>
        <v>91</v>
      </c>
      <c r="E102" s="67" t="str">
        <f>IF(OR('Services - Base year'!E100="",'Services - Base year'!E100="[Enter service]"),"",'Services - Base year'!E100)</f>
        <v/>
      </c>
      <c r="F102" s="68" t="str">
        <f>IF(OR('Services - Base year'!F100="",'Services - Base year'!F100="[Select]"),"",'Services - Base year'!F100)</f>
        <v/>
      </c>
      <c r="G102" s="15"/>
      <c r="H102" s="239"/>
      <c r="I102" s="239"/>
      <c r="J102" s="239"/>
      <c r="K102" s="239"/>
      <c r="L102" s="239"/>
      <c r="M102" s="239"/>
      <c r="N102" s="239"/>
      <c r="O102" s="239"/>
      <c r="P102" s="239"/>
      <c r="Q102" s="239"/>
      <c r="R102" s="239"/>
      <c r="S102" s="239"/>
      <c r="T102" s="240"/>
      <c r="U102" s="241"/>
      <c r="V102" s="74">
        <f t="shared" si="3"/>
        <v>0</v>
      </c>
      <c r="W102" s="17"/>
    </row>
    <row r="103" spans="1:23" ht="12" customHeight="1" x14ac:dyDescent="0.2">
      <c r="A103" s="6"/>
      <c r="B103" s="6"/>
      <c r="C103" s="13"/>
      <c r="D103" s="19">
        <f t="shared" si="4"/>
        <v>92</v>
      </c>
      <c r="E103" s="67" t="str">
        <f>IF(OR('Services - Base year'!E101="",'Services - Base year'!E101="[Enter service]"),"",'Services - Base year'!E101)</f>
        <v/>
      </c>
      <c r="F103" s="68" t="str">
        <f>IF(OR('Services - Base year'!F101="",'Services - Base year'!F101="[Select]"),"",'Services - Base year'!F101)</f>
        <v/>
      </c>
      <c r="G103" s="15"/>
      <c r="H103" s="239"/>
      <c r="I103" s="239"/>
      <c r="J103" s="239"/>
      <c r="K103" s="239"/>
      <c r="L103" s="239"/>
      <c r="M103" s="239"/>
      <c r="N103" s="239"/>
      <c r="O103" s="239"/>
      <c r="P103" s="239"/>
      <c r="Q103" s="239"/>
      <c r="R103" s="239"/>
      <c r="S103" s="239"/>
      <c r="T103" s="240"/>
      <c r="U103" s="241"/>
      <c r="V103" s="74">
        <f t="shared" si="3"/>
        <v>0</v>
      </c>
      <c r="W103" s="17"/>
    </row>
    <row r="104" spans="1:23" ht="12" customHeight="1" x14ac:dyDescent="0.2">
      <c r="A104" s="6"/>
      <c r="B104" s="6"/>
      <c r="C104" s="13"/>
      <c r="D104" s="19">
        <f t="shared" si="4"/>
        <v>93</v>
      </c>
      <c r="E104" s="67" t="str">
        <f>IF(OR('Services - Base year'!E102="",'Services - Base year'!E102="[Enter service]"),"",'Services - Base year'!E102)</f>
        <v/>
      </c>
      <c r="F104" s="68" t="str">
        <f>IF(OR('Services - Base year'!F102="",'Services - Base year'!F102="[Select]"),"",'Services - Base year'!F102)</f>
        <v/>
      </c>
      <c r="G104" s="15"/>
      <c r="H104" s="239"/>
      <c r="I104" s="239"/>
      <c r="J104" s="239"/>
      <c r="K104" s="239"/>
      <c r="L104" s="239"/>
      <c r="M104" s="239"/>
      <c r="N104" s="239"/>
      <c r="O104" s="239"/>
      <c r="P104" s="239"/>
      <c r="Q104" s="239"/>
      <c r="R104" s="239"/>
      <c r="S104" s="239"/>
      <c r="T104" s="240"/>
      <c r="U104" s="241"/>
      <c r="V104" s="74">
        <f t="shared" si="3"/>
        <v>0</v>
      </c>
      <c r="W104" s="17"/>
    </row>
    <row r="105" spans="1:23" ht="12" customHeight="1" x14ac:dyDescent="0.2">
      <c r="A105" s="6"/>
      <c r="B105" s="6"/>
      <c r="C105" s="13"/>
      <c r="D105" s="19">
        <f t="shared" si="4"/>
        <v>94</v>
      </c>
      <c r="E105" s="67" t="str">
        <f>IF(OR('Services - Base year'!E103="",'Services - Base year'!E103="[Enter service]"),"",'Services - Base year'!E103)</f>
        <v/>
      </c>
      <c r="F105" s="68" t="str">
        <f>IF(OR('Services - Base year'!F103="",'Services - Base year'!F103="[Select]"),"",'Services - Base year'!F103)</f>
        <v/>
      </c>
      <c r="G105" s="15"/>
      <c r="H105" s="239"/>
      <c r="I105" s="239"/>
      <c r="J105" s="239"/>
      <c r="K105" s="239"/>
      <c r="L105" s="239"/>
      <c r="M105" s="239"/>
      <c r="N105" s="239"/>
      <c r="O105" s="239"/>
      <c r="P105" s="239"/>
      <c r="Q105" s="239"/>
      <c r="R105" s="239"/>
      <c r="S105" s="239"/>
      <c r="T105" s="240"/>
      <c r="U105" s="241"/>
      <c r="V105" s="74">
        <f t="shared" si="3"/>
        <v>0</v>
      </c>
      <c r="W105" s="17"/>
    </row>
    <row r="106" spans="1:23" ht="12" customHeight="1" x14ac:dyDescent="0.2">
      <c r="A106" s="6"/>
      <c r="B106" s="6"/>
      <c r="C106" s="13"/>
      <c r="D106" s="19">
        <f t="shared" si="4"/>
        <v>95</v>
      </c>
      <c r="E106" s="67" t="str">
        <f>IF(OR('Services - Base year'!E104="",'Services - Base year'!E104="[Enter service]"),"",'Services - Base year'!E104)</f>
        <v/>
      </c>
      <c r="F106" s="68" t="str">
        <f>IF(OR('Services - Base year'!F104="",'Services - Base year'!F104="[Select]"),"",'Services - Base year'!F104)</f>
        <v/>
      </c>
      <c r="G106" s="15"/>
      <c r="H106" s="239"/>
      <c r="I106" s="239"/>
      <c r="J106" s="239"/>
      <c r="K106" s="239"/>
      <c r="L106" s="239"/>
      <c r="M106" s="239"/>
      <c r="N106" s="239"/>
      <c r="O106" s="239"/>
      <c r="P106" s="239"/>
      <c r="Q106" s="239"/>
      <c r="R106" s="239"/>
      <c r="S106" s="239"/>
      <c r="T106" s="240"/>
      <c r="U106" s="241"/>
      <c r="V106" s="74">
        <f t="shared" si="3"/>
        <v>0</v>
      </c>
      <c r="W106" s="17"/>
    </row>
    <row r="107" spans="1:23" ht="12" customHeight="1" x14ac:dyDescent="0.2">
      <c r="A107" s="6"/>
      <c r="B107" s="6"/>
      <c r="C107" s="13"/>
      <c r="D107" s="19">
        <f t="shared" si="4"/>
        <v>96</v>
      </c>
      <c r="E107" s="67" t="str">
        <f>IF(OR('Services - Base year'!E105="",'Services - Base year'!E105="[Enter service]"),"",'Services - Base year'!E105)</f>
        <v/>
      </c>
      <c r="F107" s="68" t="str">
        <f>IF(OR('Services - Base year'!F105="",'Services - Base year'!F105="[Select]"),"",'Services - Base year'!F105)</f>
        <v/>
      </c>
      <c r="G107" s="15"/>
      <c r="H107" s="239"/>
      <c r="I107" s="239"/>
      <c r="J107" s="239"/>
      <c r="K107" s="239"/>
      <c r="L107" s="239"/>
      <c r="M107" s="239"/>
      <c r="N107" s="239"/>
      <c r="O107" s="239"/>
      <c r="P107" s="239"/>
      <c r="Q107" s="239"/>
      <c r="R107" s="239"/>
      <c r="S107" s="239"/>
      <c r="T107" s="240"/>
      <c r="U107" s="241"/>
      <c r="V107" s="74">
        <f t="shared" si="3"/>
        <v>0</v>
      </c>
      <c r="W107" s="17"/>
    </row>
    <row r="108" spans="1:23" ht="12" customHeight="1" x14ac:dyDescent="0.2">
      <c r="A108" s="6"/>
      <c r="B108" s="6"/>
      <c r="C108" s="13"/>
      <c r="D108" s="19">
        <f t="shared" si="4"/>
        <v>97</v>
      </c>
      <c r="E108" s="67" t="str">
        <f>IF(OR('Services - Base year'!E106="",'Services - Base year'!E106="[Enter service]"),"",'Services - Base year'!E106)</f>
        <v/>
      </c>
      <c r="F108" s="68" t="str">
        <f>IF(OR('Services - Base year'!F106="",'Services - Base year'!F106="[Select]"),"",'Services - Base year'!F106)</f>
        <v/>
      </c>
      <c r="G108" s="15"/>
      <c r="H108" s="239"/>
      <c r="I108" s="239"/>
      <c r="J108" s="239"/>
      <c r="K108" s="239"/>
      <c r="L108" s="239"/>
      <c r="M108" s="239"/>
      <c r="N108" s="239"/>
      <c r="O108" s="239"/>
      <c r="P108" s="239"/>
      <c r="Q108" s="239"/>
      <c r="R108" s="239"/>
      <c r="S108" s="239"/>
      <c r="T108" s="240"/>
      <c r="U108" s="241"/>
      <c r="V108" s="74">
        <f t="shared" ref="V108:V139" si="5">SUM(H108:U108)</f>
        <v>0</v>
      </c>
      <c r="W108" s="17"/>
    </row>
    <row r="109" spans="1:23" ht="12" customHeight="1" x14ac:dyDescent="0.2">
      <c r="A109" s="6"/>
      <c r="B109" s="6"/>
      <c r="C109" s="13"/>
      <c r="D109" s="19">
        <f t="shared" si="4"/>
        <v>98</v>
      </c>
      <c r="E109" s="67" t="str">
        <f>IF(OR('Services - Base year'!E107="",'Services - Base year'!E107="[Enter service]"),"",'Services - Base year'!E107)</f>
        <v/>
      </c>
      <c r="F109" s="68" t="str">
        <f>IF(OR('Services - Base year'!F107="",'Services - Base year'!F107="[Select]"),"",'Services - Base year'!F107)</f>
        <v/>
      </c>
      <c r="G109" s="15"/>
      <c r="H109" s="239"/>
      <c r="I109" s="239"/>
      <c r="J109" s="239"/>
      <c r="K109" s="239"/>
      <c r="L109" s="239"/>
      <c r="M109" s="239"/>
      <c r="N109" s="239"/>
      <c r="O109" s="239"/>
      <c r="P109" s="239"/>
      <c r="Q109" s="239"/>
      <c r="R109" s="239"/>
      <c r="S109" s="239"/>
      <c r="T109" s="240"/>
      <c r="U109" s="241"/>
      <c r="V109" s="74">
        <f t="shared" si="5"/>
        <v>0</v>
      </c>
      <c r="W109" s="17"/>
    </row>
    <row r="110" spans="1:23" ht="12" customHeight="1" x14ac:dyDescent="0.2">
      <c r="A110" s="6"/>
      <c r="B110" s="6"/>
      <c r="C110" s="13"/>
      <c r="D110" s="19">
        <f t="shared" si="4"/>
        <v>99</v>
      </c>
      <c r="E110" s="67" t="str">
        <f>IF(OR('Services - Base year'!E108="",'Services - Base year'!E108="[Enter service]"),"",'Services - Base year'!E108)</f>
        <v/>
      </c>
      <c r="F110" s="68" t="str">
        <f>IF(OR('Services - Base year'!F108="",'Services - Base year'!F108="[Select]"),"",'Services - Base year'!F108)</f>
        <v/>
      </c>
      <c r="G110" s="15"/>
      <c r="H110" s="239"/>
      <c r="I110" s="239"/>
      <c r="J110" s="239"/>
      <c r="K110" s="239"/>
      <c r="L110" s="239"/>
      <c r="M110" s="239"/>
      <c r="N110" s="239"/>
      <c r="O110" s="239"/>
      <c r="P110" s="239"/>
      <c r="Q110" s="239"/>
      <c r="R110" s="239"/>
      <c r="S110" s="239"/>
      <c r="T110" s="240"/>
      <c r="U110" s="241"/>
      <c r="V110" s="74">
        <f t="shared" si="5"/>
        <v>0</v>
      </c>
      <c r="W110" s="17"/>
    </row>
    <row r="111" spans="1:23" ht="12" customHeight="1" x14ac:dyDescent="0.2">
      <c r="A111" s="6"/>
      <c r="B111" s="6"/>
      <c r="C111" s="13"/>
      <c r="D111" s="19">
        <f t="shared" si="4"/>
        <v>100</v>
      </c>
      <c r="E111" s="67" t="str">
        <f>IF(OR('Services - Base year'!E109="",'Services - Base year'!E109="[Enter service]"),"",'Services - Base year'!E109)</f>
        <v/>
      </c>
      <c r="F111" s="68" t="str">
        <f>IF(OR('Services - Base year'!F109="",'Services - Base year'!F109="[Select]"),"",'Services - Base year'!F109)</f>
        <v/>
      </c>
      <c r="G111" s="15"/>
      <c r="H111" s="239"/>
      <c r="I111" s="239"/>
      <c r="J111" s="239"/>
      <c r="K111" s="239"/>
      <c r="L111" s="239"/>
      <c r="M111" s="239"/>
      <c r="N111" s="239"/>
      <c r="O111" s="239"/>
      <c r="P111" s="239"/>
      <c r="Q111" s="239"/>
      <c r="R111" s="239"/>
      <c r="S111" s="239"/>
      <c r="T111" s="240"/>
      <c r="U111" s="241"/>
      <c r="V111" s="74">
        <f t="shared" si="5"/>
        <v>0</v>
      </c>
      <c r="W111" s="17"/>
    </row>
    <row r="112" spans="1:23" ht="12" customHeight="1" x14ac:dyDescent="0.2">
      <c r="A112" s="6"/>
      <c r="B112" s="6"/>
      <c r="C112" s="13"/>
      <c r="D112" s="19">
        <f t="shared" si="4"/>
        <v>101</v>
      </c>
      <c r="E112" s="67" t="str">
        <f>IF(OR('Services - Base year'!E110="",'Services - Base year'!E110="[Enter service]"),"",'Services - Base year'!E110)</f>
        <v/>
      </c>
      <c r="F112" s="68" t="str">
        <f>IF(OR('Services - Base year'!F110="",'Services - Base year'!F110="[Select]"),"",'Services - Base year'!F110)</f>
        <v/>
      </c>
      <c r="G112" s="15"/>
      <c r="H112" s="239"/>
      <c r="I112" s="239"/>
      <c r="J112" s="239"/>
      <c r="K112" s="239"/>
      <c r="L112" s="239"/>
      <c r="M112" s="239"/>
      <c r="N112" s="239"/>
      <c r="O112" s="239"/>
      <c r="P112" s="239"/>
      <c r="Q112" s="239"/>
      <c r="R112" s="239"/>
      <c r="S112" s="239"/>
      <c r="T112" s="240"/>
      <c r="U112" s="241"/>
      <c r="V112" s="74">
        <f t="shared" si="5"/>
        <v>0</v>
      </c>
      <c r="W112" s="17"/>
    </row>
    <row r="113" spans="1:23" ht="12" customHeight="1" x14ac:dyDescent="0.2">
      <c r="A113" s="6"/>
      <c r="B113" s="6"/>
      <c r="C113" s="13"/>
      <c r="D113" s="19">
        <f t="shared" si="4"/>
        <v>102</v>
      </c>
      <c r="E113" s="67" t="str">
        <f>IF(OR('Services - Base year'!E111="",'Services - Base year'!E111="[Enter service]"),"",'Services - Base year'!E111)</f>
        <v/>
      </c>
      <c r="F113" s="68" t="str">
        <f>IF(OR('Services - Base year'!F111="",'Services - Base year'!F111="[Select]"),"",'Services - Base year'!F111)</f>
        <v/>
      </c>
      <c r="G113" s="15"/>
      <c r="H113" s="239"/>
      <c r="I113" s="239"/>
      <c r="J113" s="239"/>
      <c r="K113" s="239"/>
      <c r="L113" s="239"/>
      <c r="M113" s="239"/>
      <c r="N113" s="239"/>
      <c r="O113" s="239"/>
      <c r="P113" s="239"/>
      <c r="Q113" s="239"/>
      <c r="R113" s="239"/>
      <c r="S113" s="239"/>
      <c r="T113" s="240"/>
      <c r="U113" s="241"/>
      <c r="V113" s="74">
        <f t="shared" si="5"/>
        <v>0</v>
      </c>
      <c r="W113" s="17"/>
    </row>
    <row r="114" spans="1:23" ht="12" customHeight="1" x14ac:dyDescent="0.2">
      <c r="A114" s="6"/>
      <c r="B114" s="6"/>
      <c r="C114" s="13"/>
      <c r="D114" s="19">
        <f t="shared" si="4"/>
        <v>103</v>
      </c>
      <c r="E114" s="67" t="str">
        <f>IF(OR('Services - Base year'!E112="",'Services - Base year'!E112="[Enter service]"),"",'Services - Base year'!E112)</f>
        <v/>
      </c>
      <c r="F114" s="68" t="str">
        <f>IF(OR('Services - Base year'!F112="",'Services - Base year'!F112="[Select]"),"",'Services - Base year'!F112)</f>
        <v/>
      </c>
      <c r="G114" s="15"/>
      <c r="H114" s="239"/>
      <c r="I114" s="239"/>
      <c r="J114" s="239"/>
      <c r="K114" s="239"/>
      <c r="L114" s="239"/>
      <c r="M114" s="239"/>
      <c r="N114" s="239"/>
      <c r="O114" s="239"/>
      <c r="P114" s="239"/>
      <c r="Q114" s="239"/>
      <c r="R114" s="239"/>
      <c r="S114" s="239"/>
      <c r="T114" s="240"/>
      <c r="U114" s="241"/>
      <c r="V114" s="74">
        <f t="shared" si="5"/>
        <v>0</v>
      </c>
      <c r="W114" s="17"/>
    </row>
    <row r="115" spans="1:23" ht="12" customHeight="1" x14ac:dyDescent="0.2">
      <c r="A115" s="6"/>
      <c r="B115" s="6"/>
      <c r="C115" s="13"/>
      <c r="D115" s="19">
        <f t="shared" si="4"/>
        <v>104</v>
      </c>
      <c r="E115" s="67" t="str">
        <f>IF(OR('Services - Base year'!E113="",'Services - Base year'!E113="[Enter service]"),"",'Services - Base year'!E113)</f>
        <v/>
      </c>
      <c r="F115" s="68" t="str">
        <f>IF(OR('Services - Base year'!F113="",'Services - Base year'!F113="[Select]"),"",'Services - Base year'!F113)</f>
        <v/>
      </c>
      <c r="G115" s="15"/>
      <c r="H115" s="239"/>
      <c r="I115" s="239"/>
      <c r="J115" s="239"/>
      <c r="K115" s="239"/>
      <c r="L115" s="239"/>
      <c r="M115" s="239"/>
      <c r="N115" s="239"/>
      <c r="O115" s="239"/>
      <c r="P115" s="239"/>
      <c r="Q115" s="239"/>
      <c r="R115" s="239"/>
      <c r="S115" s="239"/>
      <c r="T115" s="240"/>
      <c r="U115" s="241"/>
      <c r="V115" s="74">
        <f t="shared" si="5"/>
        <v>0</v>
      </c>
      <c r="W115" s="17"/>
    </row>
    <row r="116" spans="1:23" ht="12" customHeight="1" x14ac:dyDescent="0.2">
      <c r="A116" s="6"/>
      <c r="B116" s="6"/>
      <c r="C116" s="13"/>
      <c r="D116" s="19">
        <f t="shared" si="4"/>
        <v>105</v>
      </c>
      <c r="E116" s="67" t="str">
        <f>IF(OR('Services - Base year'!E114="",'Services - Base year'!E114="[Enter service]"),"",'Services - Base year'!E114)</f>
        <v/>
      </c>
      <c r="F116" s="68" t="str">
        <f>IF(OR('Services - Base year'!F114="",'Services - Base year'!F114="[Select]"),"",'Services - Base year'!F114)</f>
        <v/>
      </c>
      <c r="G116" s="15"/>
      <c r="H116" s="239"/>
      <c r="I116" s="239"/>
      <c r="J116" s="239"/>
      <c r="K116" s="239"/>
      <c r="L116" s="239"/>
      <c r="M116" s="239"/>
      <c r="N116" s="239"/>
      <c r="O116" s="239"/>
      <c r="P116" s="239"/>
      <c r="Q116" s="239"/>
      <c r="R116" s="239"/>
      <c r="S116" s="239"/>
      <c r="T116" s="240"/>
      <c r="U116" s="241"/>
      <c r="V116" s="74">
        <f t="shared" si="5"/>
        <v>0</v>
      </c>
      <c r="W116" s="17"/>
    </row>
    <row r="117" spans="1:23" ht="12" customHeight="1" x14ac:dyDescent="0.2">
      <c r="A117" s="6"/>
      <c r="B117" s="6"/>
      <c r="C117" s="13"/>
      <c r="D117" s="19">
        <f t="shared" si="4"/>
        <v>106</v>
      </c>
      <c r="E117" s="67" t="str">
        <f>IF(OR('Services - Base year'!E115="",'Services - Base year'!E115="[Enter service]"),"",'Services - Base year'!E115)</f>
        <v/>
      </c>
      <c r="F117" s="68" t="str">
        <f>IF(OR('Services - Base year'!F115="",'Services - Base year'!F115="[Select]"),"",'Services - Base year'!F115)</f>
        <v/>
      </c>
      <c r="G117" s="15"/>
      <c r="H117" s="239"/>
      <c r="I117" s="239"/>
      <c r="J117" s="239"/>
      <c r="K117" s="239"/>
      <c r="L117" s="239"/>
      <c r="M117" s="239"/>
      <c r="N117" s="239"/>
      <c r="O117" s="239"/>
      <c r="P117" s="239"/>
      <c r="Q117" s="239"/>
      <c r="R117" s="239"/>
      <c r="S117" s="239"/>
      <c r="T117" s="240"/>
      <c r="U117" s="241"/>
      <c r="V117" s="74">
        <f t="shared" si="5"/>
        <v>0</v>
      </c>
      <c r="W117" s="17"/>
    </row>
    <row r="118" spans="1:23" ht="12" customHeight="1" x14ac:dyDescent="0.2">
      <c r="A118" s="6"/>
      <c r="B118" s="6"/>
      <c r="C118" s="13"/>
      <c r="D118" s="19">
        <f t="shared" si="4"/>
        <v>107</v>
      </c>
      <c r="E118" s="67" t="str">
        <f>IF(OR('Services - Base year'!E116="",'Services - Base year'!E116="[Enter service]"),"",'Services - Base year'!E116)</f>
        <v/>
      </c>
      <c r="F118" s="68" t="str">
        <f>IF(OR('Services - Base year'!F116="",'Services - Base year'!F116="[Select]"),"",'Services - Base year'!F116)</f>
        <v/>
      </c>
      <c r="G118" s="15"/>
      <c r="H118" s="239"/>
      <c r="I118" s="239"/>
      <c r="J118" s="239"/>
      <c r="K118" s="239"/>
      <c r="L118" s="239"/>
      <c r="M118" s="239"/>
      <c r="N118" s="239"/>
      <c r="O118" s="239"/>
      <c r="P118" s="239"/>
      <c r="Q118" s="239"/>
      <c r="R118" s="239"/>
      <c r="S118" s="239"/>
      <c r="T118" s="240"/>
      <c r="U118" s="241"/>
      <c r="V118" s="74">
        <f t="shared" si="5"/>
        <v>0</v>
      </c>
      <c r="W118" s="17"/>
    </row>
    <row r="119" spans="1:23" ht="12" customHeight="1" x14ac:dyDescent="0.2">
      <c r="A119" s="6"/>
      <c r="B119" s="6"/>
      <c r="C119" s="13"/>
      <c r="D119" s="19">
        <f t="shared" si="4"/>
        <v>108</v>
      </c>
      <c r="E119" s="67" t="str">
        <f>IF(OR('Services - Base year'!E117="",'Services - Base year'!E117="[Enter service]"),"",'Services - Base year'!E117)</f>
        <v/>
      </c>
      <c r="F119" s="68" t="str">
        <f>IF(OR('Services - Base year'!F117="",'Services - Base year'!F117="[Select]"),"",'Services - Base year'!F117)</f>
        <v/>
      </c>
      <c r="G119" s="15"/>
      <c r="H119" s="239"/>
      <c r="I119" s="239"/>
      <c r="J119" s="239"/>
      <c r="K119" s="239"/>
      <c r="L119" s="239"/>
      <c r="M119" s="239"/>
      <c r="N119" s="239"/>
      <c r="O119" s="239"/>
      <c r="P119" s="239"/>
      <c r="Q119" s="239"/>
      <c r="R119" s="239"/>
      <c r="S119" s="239"/>
      <c r="T119" s="240"/>
      <c r="U119" s="241"/>
      <c r="V119" s="74">
        <f t="shared" si="5"/>
        <v>0</v>
      </c>
      <c r="W119" s="17"/>
    </row>
    <row r="120" spans="1:23" ht="12" customHeight="1" x14ac:dyDescent="0.2">
      <c r="A120" s="6"/>
      <c r="B120" s="6"/>
      <c r="C120" s="13"/>
      <c r="D120" s="19">
        <f t="shared" si="4"/>
        <v>109</v>
      </c>
      <c r="E120" s="67" t="str">
        <f>IF(OR('Services - Base year'!E118="",'Services - Base year'!E118="[Enter service]"),"",'Services - Base year'!E118)</f>
        <v/>
      </c>
      <c r="F120" s="68" t="str">
        <f>IF(OR('Services - Base year'!F118="",'Services - Base year'!F118="[Select]"),"",'Services - Base year'!F118)</f>
        <v/>
      </c>
      <c r="G120" s="15"/>
      <c r="H120" s="239"/>
      <c r="I120" s="239"/>
      <c r="J120" s="239"/>
      <c r="K120" s="239"/>
      <c r="L120" s="239"/>
      <c r="M120" s="239"/>
      <c r="N120" s="239"/>
      <c r="O120" s="239"/>
      <c r="P120" s="239"/>
      <c r="Q120" s="239"/>
      <c r="R120" s="239"/>
      <c r="S120" s="239"/>
      <c r="T120" s="240"/>
      <c r="U120" s="241"/>
      <c r="V120" s="74">
        <f t="shared" si="5"/>
        <v>0</v>
      </c>
      <c r="W120" s="17"/>
    </row>
    <row r="121" spans="1:23" ht="12" customHeight="1" x14ac:dyDescent="0.2">
      <c r="A121" s="6"/>
      <c r="B121" s="6"/>
      <c r="C121" s="13"/>
      <c r="D121" s="19">
        <f t="shared" si="4"/>
        <v>110</v>
      </c>
      <c r="E121" s="67" t="str">
        <f>IF(OR('Services - Base year'!E119="",'Services - Base year'!E119="[Enter service]"),"",'Services - Base year'!E119)</f>
        <v/>
      </c>
      <c r="F121" s="68" t="str">
        <f>IF(OR('Services - Base year'!F119="",'Services - Base year'!F119="[Select]"),"",'Services - Base year'!F119)</f>
        <v/>
      </c>
      <c r="G121" s="15"/>
      <c r="H121" s="239"/>
      <c r="I121" s="239"/>
      <c r="J121" s="239"/>
      <c r="K121" s="239"/>
      <c r="L121" s="239"/>
      <c r="M121" s="239"/>
      <c r="N121" s="239"/>
      <c r="O121" s="239"/>
      <c r="P121" s="239"/>
      <c r="Q121" s="239"/>
      <c r="R121" s="239"/>
      <c r="S121" s="239"/>
      <c r="T121" s="240"/>
      <c r="U121" s="241"/>
      <c r="V121" s="74">
        <f t="shared" si="5"/>
        <v>0</v>
      </c>
      <c r="W121" s="17"/>
    </row>
    <row r="122" spans="1:23" ht="12" customHeight="1" x14ac:dyDescent="0.2">
      <c r="A122" s="6"/>
      <c r="B122" s="6"/>
      <c r="C122" s="13"/>
      <c r="D122" s="19">
        <f t="shared" si="4"/>
        <v>111</v>
      </c>
      <c r="E122" s="67" t="str">
        <f>IF(OR('Services - Base year'!E120="",'Services - Base year'!E120="[Enter service]"),"",'Services - Base year'!E120)</f>
        <v/>
      </c>
      <c r="F122" s="68" t="str">
        <f>IF(OR('Services - Base year'!F120="",'Services - Base year'!F120="[Select]"),"",'Services - Base year'!F120)</f>
        <v/>
      </c>
      <c r="G122" s="15"/>
      <c r="H122" s="239"/>
      <c r="I122" s="239"/>
      <c r="J122" s="239"/>
      <c r="K122" s="239"/>
      <c r="L122" s="239"/>
      <c r="M122" s="239"/>
      <c r="N122" s="239"/>
      <c r="O122" s="239"/>
      <c r="P122" s="239"/>
      <c r="Q122" s="239"/>
      <c r="R122" s="239"/>
      <c r="S122" s="239"/>
      <c r="T122" s="240"/>
      <c r="U122" s="241"/>
      <c r="V122" s="74">
        <f t="shared" si="5"/>
        <v>0</v>
      </c>
      <c r="W122" s="17"/>
    </row>
    <row r="123" spans="1:23" ht="12" customHeight="1" x14ac:dyDescent="0.2">
      <c r="A123" s="6"/>
      <c r="B123" s="6"/>
      <c r="C123" s="13"/>
      <c r="D123" s="19">
        <f t="shared" si="4"/>
        <v>112</v>
      </c>
      <c r="E123" s="67" t="str">
        <f>IF(OR('Services - Base year'!E121="",'Services - Base year'!E121="[Enter service]"),"",'Services - Base year'!E121)</f>
        <v/>
      </c>
      <c r="F123" s="68" t="str">
        <f>IF(OR('Services - Base year'!F121="",'Services - Base year'!F121="[Select]"),"",'Services - Base year'!F121)</f>
        <v/>
      </c>
      <c r="G123" s="15"/>
      <c r="H123" s="239"/>
      <c r="I123" s="239"/>
      <c r="J123" s="239"/>
      <c r="K123" s="239"/>
      <c r="L123" s="239"/>
      <c r="M123" s="239"/>
      <c r="N123" s="239"/>
      <c r="O123" s="239"/>
      <c r="P123" s="239"/>
      <c r="Q123" s="239"/>
      <c r="R123" s="239"/>
      <c r="S123" s="239"/>
      <c r="T123" s="240"/>
      <c r="U123" s="241"/>
      <c r="V123" s="74">
        <f t="shared" si="5"/>
        <v>0</v>
      </c>
      <c r="W123" s="17"/>
    </row>
    <row r="124" spans="1:23" ht="12" customHeight="1" x14ac:dyDescent="0.2">
      <c r="A124" s="6"/>
      <c r="B124" s="6"/>
      <c r="C124" s="13"/>
      <c r="D124" s="19">
        <f t="shared" si="4"/>
        <v>113</v>
      </c>
      <c r="E124" s="67" t="str">
        <f>IF(OR('Services - Base year'!E122="",'Services - Base year'!E122="[Enter service]"),"",'Services - Base year'!E122)</f>
        <v/>
      </c>
      <c r="F124" s="68" t="str">
        <f>IF(OR('Services - Base year'!F122="",'Services - Base year'!F122="[Select]"),"",'Services - Base year'!F122)</f>
        <v/>
      </c>
      <c r="G124" s="15"/>
      <c r="H124" s="239"/>
      <c r="I124" s="239"/>
      <c r="J124" s="239"/>
      <c r="K124" s="239"/>
      <c r="L124" s="239"/>
      <c r="M124" s="239"/>
      <c r="N124" s="239"/>
      <c r="O124" s="239"/>
      <c r="P124" s="239"/>
      <c r="Q124" s="239"/>
      <c r="R124" s="239"/>
      <c r="S124" s="239"/>
      <c r="T124" s="240"/>
      <c r="U124" s="241"/>
      <c r="V124" s="74">
        <f t="shared" si="5"/>
        <v>0</v>
      </c>
      <c r="W124" s="17"/>
    </row>
    <row r="125" spans="1:23" ht="12" customHeight="1" x14ac:dyDescent="0.2">
      <c r="A125" s="6"/>
      <c r="B125" s="6"/>
      <c r="C125" s="13"/>
      <c r="D125" s="19">
        <f t="shared" si="4"/>
        <v>114</v>
      </c>
      <c r="E125" s="67" t="str">
        <f>IF(OR('Services - Base year'!E123="",'Services - Base year'!E123="[Enter service]"),"",'Services - Base year'!E123)</f>
        <v/>
      </c>
      <c r="F125" s="68" t="str">
        <f>IF(OR('Services - Base year'!F123="",'Services - Base year'!F123="[Select]"),"",'Services - Base year'!F123)</f>
        <v/>
      </c>
      <c r="G125" s="15"/>
      <c r="H125" s="239"/>
      <c r="I125" s="239"/>
      <c r="J125" s="239"/>
      <c r="K125" s="239"/>
      <c r="L125" s="239"/>
      <c r="M125" s="239"/>
      <c r="N125" s="239"/>
      <c r="O125" s="239"/>
      <c r="P125" s="239"/>
      <c r="Q125" s="239"/>
      <c r="R125" s="239"/>
      <c r="S125" s="239"/>
      <c r="T125" s="240"/>
      <c r="U125" s="241"/>
      <c r="V125" s="74">
        <f t="shared" si="5"/>
        <v>0</v>
      </c>
      <c r="W125" s="17"/>
    </row>
    <row r="126" spans="1:23" ht="12" customHeight="1" x14ac:dyDescent="0.2">
      <c r="A126" s="6"/>
      <c r="B126" s="6"/>
      <c r="C126" s="13"/>
      <c r="D126" s="19">
        <f t="shared" si="4"/>
        <v>115</v>
      </c>
      <c r="E126" s="67" t="str">
        <f>IF(OR('Services - Base year'!E124="",'Services - Base year'!E124="[Enter service]"),"",'Services - Base year'!E124)</f>
        <v/>
      </c>
      <c r="F126" s="68" t="str">
        <f>IF(OR('Services - Base year'!F124="",'Services - Base year'!F124="[Select]"),"",'Services - Base year'!F124)</f>
        <v/>
      </c>
      <c r="G126" s="15"/>
      <c r="H126" s="239"/>
      <c r="I126" s="239"/>
      <c r="J126" s="239"/>
      <c r="K126" s="239"/>
      <c r="L126" s="239"/>
      <c r="M126" s="239"/>
      <c r="N126" s="239"/>
      <c r="O126" s="239"/>
      <c r="P126" s="239"/>
      <c r="Q126" s="239"/>
      <c r="R126" s="239"/>
      <c r="S126" s="239"/>
      <c r="T126" s="240"/>
      <c r="U126" s="241"/>
      <c r="V126" s="74">
        <f t="shared" si="5"/>
        <v>0</v>
      </c>
      <c r="W126" s="17"/>
    </row>
    <row r="127" spans="1:23" ht="12" customHeight="1" x14ac:dyDescent="0.2">
      <c r="A127" s="6"/>
      <c r="B127" s="6"/>
      <c r="C127" s="13"/>
      <c r="D127" s="19">
        <f t="shared" si="4"/>
        <v>116</v>
      </c>
      <c r="E127" s="67" t="str">
        <f>IF(OR('Services - Base year'!E125="",'Services - Base year'!E125="[Enter service]"),"",'Services - Base year'!E125)</f>
        <v/>
      </c>
      <c r="F127" s="68" t="str">
        <f>IF(OR('Services - Base year'!F125="",'Services - Base year'!F125="[Select]"),"",'Services - Base year'!F125)</f>
        <v/>
      </c>
      <c r="G127" s="15"/>
      <c r="H127" s="239"/>
      <c r="I127" s="239"/>
      <c r="J127" s="239"/>
      <c r="K127" s="239"/>
      <c r="L127" s="239"/>
      <c r="M127" s="239"/>
      <c r="N127" s="239"/>
      <c r="O127" s="239"/>
      <c r="P127" s="239"/>
      <c r="Q127" s="239"/>
      <c r="R127" s="239"/>
      <c r="S127" s="239"/>
      <c r="T127" s="240"/>
      <c r="U127" s="241"/>
      <c r="V127" s="74">
        <f t="shared" si="5"/>
        <v>0</v>
      </c>
      <c r="W127" s="17"/>
    </row>
    <row r="128" spans="1:23" ht="12" customHeight="1" x14ac:dyDescent="0.2">
      <c r="A128" s="6"/>
      <c r="B128" s="6"/>
      <c r="C128" s="13"/>
      <c r="D128" s="19">
        <f t="shared" si="4"/>
        <v>117</v>
      </c>
      <c r="E128" s="67" t="str">
        <f>IF(OR('Services - Base year'!E126="",'Services - Base year'!E126="[Enter service]"),"",'Services - Base year'!E126)</f>
        <v/>
      </c>
      <c r="F128" s="68" t="str">
        <f>IF(OR('Services - Base year'!F126="",'Services - Base year'!F126="[Select]"),"",'Services - Base year'!F126)</f>
        <v/>
      </c>
      <c r="G128" s="15"/>
      <c r="H128" s="239"/>
      <c r="I128" s="239"/>
      <c r="J128" s="239"/>
      <c r="K128" s="239"/>
      <c r="L128" s="239"/>
      <c r="M128" s="239"/>
      <c r="N128" s="239"/>
      <c r="O128" s="239"/>
      <c r="P128" s="239"/>
      <c r="Q128" s="239"/>
      <c r="R128" s="239"/>
      <c r="S128" s="239"/>
      <c r="T128" s="240"/>
      <c r="U128" s="241"/>
      <c r="V128" s="74">
        <f t="shared" si="5"/>
        <v>0</v>
      </c>
      <c r="W128" s="17"/>
    </row>
    <row r="129" spans="1:23" ht="12" customHeight="1" x14ac:dyDescent="0.2">
      <c r="A129" s="6"/>
      <c r="B129" s="6"/>
      <c r="C129" s="13"/>
      <c r="D129" s="19">
        <f t="shared" si="4"/>
        <v>118</v>
      </c>
      <c r="E129" s="67" t="str">
        <f>IF(OR('Services - Base year'!E127="",'Services - Base year'!E127="[Enter service]"),"",'Services - Base year'!E127)</f>
        <v/>
      </c>
      <c r="F129" s="68" t="str">
        <f>IF(OR('Services - Base year'!F127="",'Services - Base year'!F127="[Select]"),"",'Services - Base year'!F127)</f>
        <v/>
      </c>
      <c r="G129" s="15"/>
      <c r="H129" s="239"/>
      <c r="I129" s="239"/>
      <c r="J129" s="239"/>
      <c r="K129" s="239"/>
      <c r="L129" s="239"/>
      <c r="M129" s="239"/>
      <c r="N129" s="239"/>
      <c r="O129" s="239"/>
      <c r="P129" s="239"/>
      <c r="Q129" s="239"/>
      <c r="R129" s="239"/>
      <c r="S129" s="239"/>
      <c r="T129" s="240"/>
      <c r="U129" s="241"/>
      <c r="V129" s="74">
        <f t="shared" si="5"/>
        <v>0</v>
      </c>
      <c r="W129" s="17"/>
    </row>
    <row r="130" spans="1:23" ht="12" customHeight="1" x14ac:dyDescent="0.2">
      <c r="A130" s="6"/>
      <c r="B130" s="6"/>
      <c r="C130" s="13"/>
      <c r="D130" s="19">
        <f t="shared" si="4"/>
        <v>119</v>
      </c>
      <c r="E130" s="67" t="str">
        <f>IF(OR('Services - Base year'!E128="",'Services - Base year'!E128="[Enter service]"),"",'Services - Base year'!E128)</f>
        <v/>
      </c>
      <c r="F130" s="68" t="str">
        <f>IF(OR('Services - Base year'!F128="",'Services - Base year'!F128="[Select]"),"",'Services - Base year'!F128)</f>
        <v/>
      </c>
      <c r="G130" s="15"/>
      <c r="H130" s="239"/>
      <c r="I130" s="239"/>
      <c r="J130" s="239"/>
      <c r="K130" s="239"/>
      <c r="L130" s="239"/>
      <c r="M130" s="239"/>
      <c r="N130" s="239"/>
      <c r="O130" s="239"/>
      <c r="P130" s="239"/>
      <c r="Q130" s="239"/>
      <c r="R130" s="239"/>
      <c r="S130" s="239"/>
      <c r="T130" s="240"/>
      <c r="U130" s="241"/>
      <c r="V130" s="74">
        <f t="shared" si="5"/>
        <v>0</v>
      </c>
      <c r="W130" s="17"/>
    </row>
    <row r="131" spans="1:23" ht="12" customHeight="1" x14ac:dyDescent="0.2">
      <c r="A131" s="6"/>
      <c r="B131" s="6"/>
      <c r="C131" s="13"/>
      <c r="D131" s="19">
        <f t="shared" si="4"/>
        <v>120</v>
      </c>
      <c r="E131" s="67" t="str">
        <f>IF(OR('Services - Base year'!E129="",'Services - Base year'!E129="[Enter service]"),"",'Services - Base year'!E129)</f>
        <v/>
      </c>
      <c r="F131" s="68" t="str">
        <f>IF(OR('Services - Base year'!F129="",'Services - Base year'!F129="[Select]"),"",'Services - Base year'!F129)</f>
        <v/>
      </c>
      <c r="G131" s="15"/>
      <c r="H131" s="239"/>
      <c r="I131" s="239"/>
      <c r="J131" s="239"/>
      <c r="K131" s="239"/>
      <c r="L131" s="239"/>
      <c r="M131" s="239"/>
      <c r="N131" s="239"/>
      <c r="O131" s="239"/>
      <c r="P131" s="239"/>
      <c r="Q131" s="239"/>
      <c r="R131" s="239"/>
      <c r="S131" s="239"/>
      <c r="T131" s="240"/>
      <c r="U131" s="241"/>
      <c r="V131" s="74">
        <f t="shared" si="5"/>
        <v>0</v>
      </c>
      <c r="W131" s="17"/>
    </row>
    <row r="132" spans="1:23" ht="12" customHeight="1" x14ac:dyDescent="0.2">
      <c r="A132" s="6"/>
      <c r="B132" s="6"/>
      <c r="C132" s="13"/>
      <c r="D132" s="19">
        <f t="shared" si="4"/>
        <v>121</v>
      </c>
      <c r="E132" s="67" t="str">
        <f>IF(OR('Services - Base year'!E130="",'Services - Base year'!E130="[Enter service]"),"",'Services - Base year'!E130)</f>
        <v/>
      </c>
      <c r="F132" s="68" t="str">
        <f>IF(OR('Services - Base year'!F130="",'Services - Base year'!F130="[Select]"),"",'Services - Base year'!F130)</f>
        <v/>
      </c>
      <c r="G132" s="15"/>
      <c r="H132" s="239"/>
      <c r="I132" s="239"/>
      <c r="J132" s="239"/>
      <c r="K132" s="239"/>
      <c r="L132" s="239"/>
      <c r="M132" s="239"/>
      <c r="N132" s="239"/>
      <c r="O132" s="239"/>
      <c r="P132" s="239"/>
      <c r="Q132" s="239"/>
      <c r="R132" s="239"/>
      <c r="S132" s="239"/>
      <c r="T132" s="240"/>
      <c r="U132" s="241"/>
      <c r="V132" s="74">
        <f t="shared" si="5"/>
        <v>0</v>
      </c>
      <c r="W132" s="17"/>
    </row>
    <row r="133" spans="1:23" ht="12" customHeight="1" x14ac:dyDescent="0.2">
      <c r="A133" s="6"/>
      <c r="B133" s="6"/>
      <c r="C133" s="13"/>
      <c r="D133" s="19">
        <f t="shared" si="4"/>
        <v>122</v>
      </c>
      <c r="E133" s="67" t="str">
        <f>IF(OR('Services - Base year'!E131="",'Services - Base year'!E131="[Enter service]"),"",'Services - Base year'!E131)</f>
        <v/>
      </c>
      <c r="F133" s="68" t="str">
        <f>IF(OR('Services - Base year'!F131="",'Services - Base year'!F131="[Select]"),"",'Services - Base year'!F131)</f>
        <v/>
      </c>
      <c r="G133" s="15"/>
      <c r="H133" s="239"/>
      <c r="I133" s="239"/>
      <c r="J133" s="239"/>
      <c r="K133" s="239"/>
      <c r="L133" s="239"/>
      <c r="M133" s="239"/>
      <c r="N133" s="239"/>
      <c r="O133" s="239"/>
      <c r="P133" s="239"/>
      <c r="Q133" s="239"/>
      <c r="R133" s="239"/>
      <c r="S133" s="239"/>
      <c r="T133" s="240"/>
      <c r="U133" s="241"/>
      <c r="V133" s="74">
        <f t="shared" si="5"/>
        <v>0</v>
      </c>
      <c r="W133" s="17"/>
    </row>
    <row r="134" spans="1:23" ht="12" customHeight="1" x14ac:dyDescent="0.2">
      <c r="A134" s="6"/>
      <c r="B134" s="6"/>
      <c r="C134" s="13"/>
      <c r="D134" s="19">
        <f t="shared" si="4"/>
        <v>123</v>
      </c>
      <c r="E134" s="67" t="str">
        <f>IF(OR('Services - Base year'!E132="",'Services - Base year'!E132="[Enter service]"),"",'Services - Base year'!E132)</f>
        <v/>
      </c>
      <c r="F134" s="68" t="str">
        <f>IF(OR('Services - Base year'!F132="",'Services - Base year'!F132="[Select]"),"",'Services - Base year'!F132)</f>
        <v/>
      </c>
      <c r="G134" s="15"/>
      <c r="H134" s="239"/>
      <c r="I134" s="239"/>
      <c r="J134" s="239"/>
      <c r="K134" s="239"/>
      <c r="L134" s="239"/>
      <c r="M134" s="239"/>
      <c r="N134" s="239"/>
      <c r="O134" s="239"/>
      <c r="P134" s="239"/>
      <c r="Q134" s="239"/>
      <c r="R134" s="239"/>
      <c r="S134" s="239"/>
      <c r="T134" s="240"/>
      <c r="U134" s="241"/>
      <c r="V134" s="74">
        <f t="shared" si="5"/>
        <v>0</v>
      </c>
      <c r="W134" s="17"/>
    </row>
    <row r="135" spans="1:23" ht="12" customHeight="1" x14ac:dyDescent="0.2">
      <c r="A135" s="6"/>
      <c r="B135" s="6"/>
      <c r="C135" s="13"/>
      <c r="D135" s="19">
        <f t="shared" si="4"/>
        <v>124</v>
      </c>
      <c r="E135" s="67" t="str">
        <f>IF(OR('Services - Base year'!E133="",'Services - Base year'!E133="[Enter service]"),"",'Services - Base year'!E133)</f>
        <v/>
      </c>
      <c r="F135" s="68" t="str">
        <f>IF(OR('Services - Base year'!F133="",'Services - Base year'!F133="[Select]"),"",'Services - Base year'!F133)</f>
        <v/>
      </c>
      <c r="G135" s="15"/>
      <c r="H135" s="239"/>
      <c r="I135" s="239"/>
      <c r="J135" s="239"/>
      <c r="K135" s="239"/>
      <c r="L135" s="239"/>
      <c r="M135" s="239"/>
      <c r="N135" s="239"/>
      <c r="O135" s="239"/>
      <c r="P135" s="239"/>
      <c r="Q135" s="239"/>
      <c r="R135" s="239"/>
      <c r="S135" s="239"/>
      <c r="T135" s="240"/>
      <c r="U135" s="241"/>
      <c r="V135" s="74">
        <f t="shared" si="5"/>
        <v>0</v>
      </c>
      <c r="W135" s="17"/>
    </row>
    <row r="136" spans="1:23" ht="12" customHeight="1" x14ac:dyDescent="0.2">
      <c r="A136" s="6"/>
      <c r="B136" s="6"/>
      <c r="C136" s="13"/>
      <c r="D136" s="19">
        <f t="shared" si="4"/>
        <v>125</v>
      </c>
      <c r="E136" s="67" t="str">
        <f>IF(OR('Services - Base year'!E134="",'Services - Base year'!E134="[Enter service]"),"",'Services - Base year'!E134)</f>
        <v/>
      </c>
      <c r="F136" s="68" t="str">
        <f>IF(OR('Services - Base year'!F134="",'Services - Base year'!F134="[Select]"),"",'Services - Base year'!F134)</f>
        <v/>
      </c>
      <c r="G136" s="15"/>
      <c r="H136" s="239"/>
      <c r="I136" s="239"/>
      <c r="J136" s="239"/>
      <c r="K136" s="239"/>
      <c r="L136" s="239"/>
      <c r="M136" s="239"/>
      <c r="N136" s="239"/>
      <c r="O136" s="239"/>
      <c r="P136" s="239"/>
      <c r="Q136" s="239"/>
      <c r="R136" s="239"/>
      <c r="S136" s="239"/>
      <c r="T136" s="240"/>
      <c r="U136" s="241"/>
      <c r="V136" s="74">
        <f t="shared" si="5"/>
        <v>0</v>
      </c>
      <c r="W136" s="17"/>
    </row>
    <row r="137" spans="1:23" ht="12" customHeight="1" x14ac:dyDescent="0.2">
      <c r="A137" s="6"/>
      <c r="B137" s="6"/>
      <c r="C137" s="13"/>
      <c r="D137" s="19">
        <f t="shared" si="4"/>
        <v>126</v>
      </c>
      <c r="E137" s="67" t="str">
        <f>IF(OR('Services - Base year'!E135="",'Services - Base year'!E135="[Enter service]"),"",'Services - Base year'!E135)</f>
        <v/>
      </c>
      <c r="F137" s="68" t="str">
        <f>IF(OR('Services - Base year'!F135="",'Services - Base year'!F135="[Select]"),"",'Services - Base year'!F135)</f>
        <v/>
      </c>
      <c r="G137" s="15"/>
      <c r="H137" s="239"/>
      <c r="I137" s="239"/>
      <c r="J137" s="239"/>
      <c r="K137" s="239"/>
      <c r="L137" s="239"/>
      <c r="M137" s="239"/>
      <c r="N137" s="239"/>
      <c r="O137" s="239"/>
      <c r="P137" s="239"/>
      <c r="Q137" s="239"/>
      <c r="R137" s="239"/>
      <c r="S137" s="239"/>
      <c r="T137" s="240"/>
      <c r="U137" s="241"/>
      <c r="V137" s="74">
        <f t="shared" si="5"/>
        <v>0</v>
      </c>
      <c r="W137" s="17"/>
    </row>
    <row r="138" spans="1:23" ht="12" customHeight="1" x14ac:dyDescent="0.2">
      <c r="A138" s="6"/>
      <c r="B138" s="6"/>
      <c r="C138" s="13"/>
      <c r="D138" s="19">
        <f t="shared" si="4"/>
        <v>127</v>
      </c>
      <c r="E138" s="67" t="str">
        <f>IF(OR('Services - Base year'!E136="",'Services - Base year'!E136="[Enter service]"),"",'Services - Base year'!E136)</f>
        <v/>
      </c>
      <c r="F138" s="68" t="str">
        <f>IF(OR('Services - Base year'!F136="",'Services - Base year'!F136="[Select]"),"",'Services - Base year'!F136)</f>
        <v/>
      </c>
      <c r="G138" s="15"/>
      <c r="H138" s="239"/>
      <c r="I138" s="239"/>
      <c r="J138" s="239"/>
      <c r="K138" s="239"/>
      <c r="L138" s="239"/>
      <c r="M138" s="239"/>
      <c r="N138" s="239"/>
      <c r="O138" s="239"/>
      <c r="P138" s="239"/>
      <c r="Q138" s="239"/>
      <c r="R138" s="239"/>
      <c r="S138" s="239"/>
      <c r="T138" s="240"/>
      <c r="U138" s="241"/>
      <c r="V138" s="74">
        <f t="shared" si="5"/>
        <v>0</v>
      </c>
      <c r="W138" s="17"/>
    </row>
    <row r="139" spans="1:23" ht="12" customHeight="1" x14ac:dyDescent="0.2">
      <c r="A139" s="6"/>
      <c r="B139" s="6"/>
      <c r="C139" s="13"/>
      <c r="D139" s="19">
        <f t="shared" si="4"/>
        <v>128</v>
      </c>
      <c r="E139" s="67" t="str">
        <f>IF(OR('Services - Base year'!E137="",'Services - Base year'!E137="[Enter service]"),"",'Services - Base year'!E137)</f>
        <v/>
      </c>
      <c r="F139" s="68" t="str">
        <f>IF(OR('Services - Base year'!F137="",'Services - Base year'!F137="[Select]"),"",'Services - Base year'!F137)</f>
        <v/>
      </c>
      <c r="G139" s="15"/>
      <c r="H139" s="239"/>
      <c r="I139" s="239"/>
      <c r="J139" s="239"/>
      <c r="K139" s="239"/>
      <c r="L139" s="239"/>
      <c r="M139" s="239"/>
      <c r="N139" s="239"/>
      <c r="O139" s="239"/>
      <c r="P139" s="239"/>
      <c r="Q139" s="239"/>
      <c r="R139" s="239"/>
      <c r="S139" s="239"/>
      <c r="T139" s="240"/>
      <c r="U139" s="241"/>
      <c r="V139" s="74">
        <f t="shared" si="5"/>
        <v>0</v>
      </c>
      <c r="W139" s="17"/>
    </row>
    <row r="140" spans="1:23" ht="12" customHeight="1" x14ac:dyDescent="0.2">
      <c r="A140" s="6"/>
      <c r="B140" s="6"/>
      <c r="C140" s="13"/>
      <c r="D140" s="19">
        <f t="shared" si="4"/>
        <v>129</v>
      </c>
      <c r="E140" s="67" t="str">
        <f>IF(OR('Services - Base year'!E138="",'Services - Base year'!E138="[Enter service]"),"",'Services - Base year'!E138)</f>
        <v/>
      </c>
      <c r="F140" s="68" t="str">
        <f>IF(OR('Services - Base year'!F138="",'Services - Base year'!F138="[Select]"),"",'Services - Base year'!F138)</f>
        <v/>
      </c>
      <c r="G140" s="15"/>
      <c r="H140" s="239"/>
      <c r="I140" s="239"/>
      <c r="J140" s="239"/>
      <c r="K140" s="239"/>
      <c r="L140" s="239"/>
      <c r="M140" s="239"/>
      <c r="N140" s="239"/>
      <c r="O140" s="239"/>
      <c r="P140" s="239"/>
      <c r="Q140" s="239"/>
      <c r="R140" s="239"/>
      <c r="S140" s="239"/>
      <c r="T140" s="240"/>
      <c r="U140" s="241"/>
      <c r="V140" s="74">
        <f t="shared" ref="V140:V153" si="6">SUM(H140:U140)</f>
        <v>0</v>
      </c>
      <c r="W140" s="17"/>
    </row>
    <row r="141" spans="1:23" ht="12" customHeight="1" x14ac:dyDescent="0.2">
      <c r="A141" s="6"/>
      <c r="B141" s="6"/>
      <c r="C141" s="13"/>
      <c r="D141" s="19">
        <f t="shared" si="4"/>
        <v>130</v>
      </c>
      <c r="E141" s="67" t="str">
        <f>IF(OR('Services - Base year'!E139="",'Services - Base year'!E139="[Enter service]"),"",'Services - Base year'!E139)</f>
        <v/>
      </c>
      <c r="F141" s="68" t="str">
        <f>IF(OR('Services - Base year'!F139="",'Services - Base year'!F139="[Select]"),"",'Services - Base year'!F139)</f>
        <v/>
      </c>
      <c r="G141" s="15"/>
      <c r="H141" s="239"/>
      <c r="I141" s="239"/>
      <c r="J141" s="239"/>
      <c r="K141" s="239"/>
      <c r="L141" s="239"/>
      <c r="M141" s="239"/>
      <c r="N141" s="239"/>
      <c r="O141" s="239"/>
      <c r="P141" s="239"/>
      <c r="Q141" s="239"/>
      <c r="R141" s="239"/>
      <c r="S141" s="239"/>
      <c r="T141" s="240"/>
      <c r="U141" s="241"/>
      <c r="V141" s="74">
        <f t="shared" si="6"/>
        <v>0</v>
      </c>
      <c r="W141" s="17"/>
    </row>
    <row r="142" spans="1:23" ht="12" customHeight="1" x14ac:dyDescent="0.2">
      <c r="A142" s="6"/>
      <c r="B142" s="6"/>
      <c r="C142" s="13"/>
      <c r="D142" s="19">
        <f t="shared" ref="D142:D151" si="7">D141+1</f>
        <v>131</v>
      </c>
      <c r="E142" s="67" t="str">
        <f>IF(OR('Services - Base year'!E140="",'Services - Base year'!E140="[Enter service]"),"",'Services - Base year'!E140)</f>
        <v/>
      </c>
      <c r="F142" s="68" t="str">
        <f>IF(OR('Services - Base year'!F140="",'Services - Base year'!F140="[Select]"),"",'Services - Base year'!F140)</f>
        <v/>
      </c>
      <c r="G142" s="15"/>
      <c r="H142" s="239"/>
      <c r="I142" s="239"/>
      <c r="J142" s="239"/>
      <c r="K142" s="239"/>
      <c r="L142" s="239"/>
      <c r="M142" s="239"/>
      <c r="N142" s="239"/>
      <c r="O142" s="239"/>
      <c r="P142" s="239"/>
      <c r="Q142" s="239"/>
      <c r="R142" s="239"/>
      <c r="S142" s="239"/>
      <c r="T142" s="240"/>
      <c r="U142" s="241"/>
      <c r="V142" s="74">
        <f t="shared" si="6"/>
        <v>0</v>
      </c>
      <c r="W142" s="17"/>
    </row>
    <row r="143" spans="1:23" ht="12" customHeight="1" x14ac:dyDescent="0.2">
      <c r="A143" s="6"/>
      <c r="B143" s="6"/>
      <c r="C143" s="13"/>
      <c r="D143" s="19">
        <f t="shared" si="7"/>
        <v>132</v>
      </c>
      <c r="E143" s="67" t="str">
        <f>IF(OR('Services - Base year'!E141="",'Services - Base year'!E141="[Enter service]"),"",'Services - Base year'!E141)</f>
        <v/>
      </c>
      <c r="F143" s="68" t="str">
        <f>IF(OR('Services - Base year'!F141="",'Services - Base year'!F141="[Select]"),"",'Services - Base year'!F141)</f>
        <v/>
      </c>
      <c r="G143" s="15"/>
      <c r="H143" s="239"/>
      <c r="I143" s="239"/>
      <c r="J143" s="239"/>
      <c r="K143" s="239"/>
      <c r="L143" s="239"/>
      <c r="M143" s="239"/>
      <c r="N143" s="239"/>
      <c r="O143" s="239"/>
      <c r="P143" s="239"/>
      <c r="Q143" s="239"/>
      <c r="R143" s="239"/>
      <c r="S143" s="239"/>
      <c r="T143" s="240"/>
      <c r="U143" s="241"/>
      <c r="V143" s="74">
        <f t="shared" si="6"/>
        <v>0</v>
      </c>
      <c r="W143" s="17"/>
    </row>
    <row r="144" spans="1:23" ht="12" customHeight="1" x14ac:dyDescent="0.2">
      <c r="A144" s="6"/>
      <c r="B144" s="6"/>
      <c r="C144" s="13"/>
      <c r="D144" s="19">
        <f t="shared" si="7"/>
        <v>133</v>
      </c>
      <c r="E144" s="67" t="str">
        <f>IF(OR('Services - Base year'!E142="",'Services - Base year'!E142="[Enter service]"),"",'Services - Base year'!E142)</f>
        <v/>
      </c>
      <c r="F144" s="68" t="str">
        <f>IF(OR('Services - Base year'!F142="",'Services - Base year'!F142="[Select]"),"",'Services - Base year'!F142)</f>
        <v/>
      </c>
      <c r="G144" s="15"/>
      <c r="H144" s="239"/>
      <c r="I144" s="239"/>
      <c r="J144" s="239"/>
      <c r="K144" s="239"/>
      <c r="L144" s="239"/>
      <c r="M144" s="239"/>
      <c r="N144" s="239"/>
      <c r="O144" s="239"/>
      <c r="P144" s="239"/>
      <c r="Q144" s="239"/>
      <c r="R144" s="239"/>
      <c r="S144" s="239"/>
      <c r="T144" s="240"/>
      <c r="U144" s="241"/>
      <c r="V144" s="74">
        <f t="shared" si="6"/>
        <v>0</v>
      </c>
      <c r="W144" s="17"/>
    </row>
    <row r="145" spans="1:23" ht="12" customHeight="1" x14ac:dyDescent="0.2">
      <c r="A145" s="6"/>
      <c r="B145" s="6"/>
      <c r="C145" s="13"/>
      <c r="D145" s="19">
        <f t="shared" si="7"/>
        <v>134</v>
      </c>
      <c r="E145" s="67" t="str">
        <f>IF(OR('Services - Base year'!E143="",'Services - Base year'!E143="[Enter service]"),"",'Services - Base year'!E143)</f>
        <v/>
      </c>
      <c r="F145" s="68" t="str">
        <f>IF(OR('Services - Base year'!F143="",'Services - Base year'!F143="[Select]"),"",'Services - Base year'!F143)</f>
        <v/>
      </c>
      <c r="G145" s="15"/>
      <c r="H145" s="239"/>
      <c r="I145" s="239"/>
      <c r="J145" s="239"/>
      <c r="K145" s="239"/>
      <c r="L145" s="239"/>
      <c r="M145" s="239"/>
      <c r="N145" s="239"/>
      <c r="O145" s="239"/>
      <c r="P145" s="239"/>
      <c r="Q145" s="239"/>
      <c r="R145" s="239"/>
      <c r="S145" s="239"/>
      <c r="T145" s="240"/>
      <c r="U145" s="241"/>
      <c r="V145" s="74">
        <f t="shared" si="6"/>
        <v>0</v>
      </c>
      <c r="W145" s="17"/>
    </row>
    <row r="146" spans="1:23" ht="12" customHeight="1" x14ac:dyDescent="0.2">
      <c r="A146" s="6"/>
      <c r="B146" s="6"/>
      <c r="C146" s="13"/>
      <c r="D146" s="19">
        <f t="shared" si="7"/>
        <v>135</v>
      </c>
      <c r="E146" s="67" t="str">
        <f>IF(OR('Services - Base year'!E144="",'Services - Base year'!E144="[Enter service]"),"",'Services - Base year'!E144)</f>
        <v/>
      </c>
      <c r="F146" s="68" t="str">
        <f>IF(OR('Services - Base year'!F144="",'Services - Base year'!F144="[Select]"),"",'Services - Base year'!F144)</f>
        <v/>
      </c>
      <c r="G146" s="15"/>
      <c r="H146" s="239"/>
      <c r="I146" s="239"/>
      <c r="J146" s="239"/>
      <c r="K146" s="239"/>
      <c r="L146" s="239"/>
      <c r="M146" s="239"/>
      <c r="N146" s="239"/>
      <c r="O146" s="239"/>
      <c r="P146" s="239"/>
      <c r="Q146" s="239"/>
      <c r="R146" s="239"/>
      <c r="S146" s="239"/>
      <c r="T146" s="240"/>
      <c r="U146" s="241"/>
      <c r="V146" s="74">
        <f t="shared" si="6"/>
        <v>0</v>
      </c>
      <c r="W146" s="17"/>
    </row>
    <row r="147" spans="1:23" ht="12" customHeight="1" x14ac:dyDescent="0.2">
      <c r="A147" s="6"/>
      <c r="B147" s="6"/>
      <c r="C147" s="13"/>
      <c r="D147" s="19">
        <f t="shared" si="7"/>
        <v>136</v>
      </c>
      <c r="E147" s="67" t="str">
        <f>IF(OR('Services - Base year'!E145="",'Services - Base year'!E145="[Enter service]"),"",'Services - Base year'!E145)</f>
        <v/>
      </c>
      <c r="F147" s="68" t="str">
        <f>IF(OR('Services - Base year'!F145="",'Services - Base year'!F145="[Select]"),"",'Services - Base year'!F145)</f>
        <v/>
      </c>
      <c r="G147" s="15"/>
      <c r="H147" s="239"/>
      <c r="I147" s="239"/>
      <c r="J147" s="239"/>
      <c r="K147" s="239"/>
      <c r="L147" s="239"/>
      <c r="M147" s="239"/>
      <c r="N147" s="239"/>
      <c r="O147" s="239"/>
      <c r="P147" s="239"/>
      <c r="Q147" s="239"/>
      <c r="R147" s="239"/>
      <c r="S147" s="239"/>
      <c r="T147" s="240"/>
      <c r="U147" s="241"/>
      <c r="V147" s="74">
        <f t="shared" si="6"/>
        <v>0</v>
      </c>
      <c r="W147" s="17"/>
    </row>
    <row r="148" spans="1:23" ht="12" customHeight="1" x14ac:dyDescent="0.2">
      <c r="A148" s="6"/>
      <c r="B148" s="6"/>
      <c r="C148" s="13"/>
      <c r="D148" s="19">
        <f t="shared" si="7"/>
        <v>137</v>
      </c>
      <c r="E148" s="67" t="str">
        <f>IF(OR('Services - Base year'!E146="",'Services - Base year'!E146="[Enter service]"),"",'Services - Base year'!E146)</f>
        <v/>
      </c>
      <c r="F148" s="68" t="str">
        <f>IF(OR('Services - Base year'!F146="",'Services - Base year'!F146="[Select]"),"",'Services - Base year'!F146)</f>
        <v/>
      </c>
      <c r="G148" s="15"/>
      <c r="H148" s="239"/>
      <c r="I148" s="239"/>
      <c r="J148" s="239"/>
      <c r="K148" s="239"/>
      <c r="L148" s="239"/>
      <c r="M148" s="239"/>
      <c r="N148" s="239"/>
      <c r="O148" s="239"/>
      <c r="P148" s="239"/>
      <c r="Q148" s="239"/>
      <c r="R148" s="239"/>
      <c r="S148" s="239"/>
      <c r="T148" s="240"/>
      <c r="U148" s="241"/>
      <c r="V148" s="74">
        <f t="shared" si="6"/>
        <v>0</v>
      </c>
      <c r="W148" s="17"/>
    </row>
    <row r="149" spans="1:23" ht="12" customHeight="1" x14ac:dyDescent="0.2">
      <c r="A149" s="6"/>
      <c r="B149" s="6"/>
      <c r="C149" s="13"/>
      <c r="D149" s="19">
        <f t="shared" si="7"/>
        <v>138</v>
      </c>
      <c r="E149" s="67" t="str">
        <f>IF(OR('Services - Base year'!E147="",'Services - Base year'!E147="[Enter service]"),"",'Services - Base year'!E147)</f>
        <v/>
      </c>
      <c r="F149" s="68" t="str">
        <f>IF(OR('Services - Base year'!F147="",'Services - Base year'!F147="[Select]"),"",'Services - Base year'!F147)</f>
        <v/>
      </c>
      <c r="G149" s="15"/>
      <c r="H149" s="239"/>
      <c r="I149" s="239"/>
      <c r="J149" s="239"/>
      <c r="K149" s="239"/>
      <c r="L149" s="239"/>
      <c r="M149" s="239"/>
      <c r="N149" s="239"/>
      <c r="O149" s="239"/>
      <c r="P149" s="239"/>
      <c r="Q149" s="239"/>
      <c r="R149" s="239"/>
      <c r="S149" s="239"/>
      <c r="T149" s="240"/>
      <c r="U149" s="241"/>
      <c r="V149" s="74">
        <f t="shared" si="6"/>
        <v>0</v>
      </c>
      <c r="W149" s="17"/>
    </row>
    <row r="150" spans="1:23" ht="12" customHeight="1" x14ac:dyDescent="0.2">
      <c r="A150" s="6"/>
      <c r="B150" s="6"/>
      <c r="C150" s="13"/>
      <c r="D150" s="19">
        <f t="shared" si="7"/>
        <v>139</v>
      </c>
      <c r="E150" s="67" t="str">
        <f>IF(OR('Services - Base year'!E148="",'Services - Base year'!E148="[Enter service]"),"",'Services - Base year'!E148)</f>
        <v/>
      </c>
      <c r="F150" s="68" t="str">
        <f>IF(OR('Services - Base year'!F148="",'Services - Base year'!F148="[Select]"),"",'Services - Base year'!F148)</f>
        <v/>
      </c>
      <c r="G150" s="15"/>
      <c r="H150" s="239"/>
      <c r="I150" s="239"/>
      <c r="J150" s="239"/>
      <c r="K150" s="239"/>
      <c r="L150" s="239"/>
      <c r="M150" s="239"/>
      <c r="N150" s="239"/>
      <c r="O150" s="239"/>
      <c r="P150" s="239"/>
      <c r="Q150" s="239"/>
      <c r="R150" s="239"/>
      <c r="S150" s="239"/>
      <c r="T150" s="240"/>
      <c r="U150" s="241"/>
      <c r="V150" s="74">
        <f t="shared" si="6"/>
        <v>0</v>
      </c>
      <c r="W150" s="17"/>
    </row>
    <row r="151" spans="1:23" ht="12" customHeight="1" x14ac:dyDescent="0.2">
      <c r="A151" s="6"/>
      <c r="B151" s="6"/>
      <c r="C151" s="13"/>
      <c r="D151" s="19">
        <f t="shared" si="7"/>
        <v>140</v>
      </c>
      <c r="E151" s="67" t="str">
        <f>IF(OR('Services - Base year'!E149="",'Services - Base year'!E149="[Enter service]"),"",'Services - Base year'!E149)</f>
        <v/>
      </c>
      <c r="F151" s="68" t="str">
        <f>IF(OR('Services - Base year'!F149="",'Services - Base year'!F149="[Select]"),"",'Services - Base year'!F149)</f>
        <v/>
      </c>
      <c r="G151" s="15"/>
      <c r="H151" s="239"/>
      <c r="I151" s="239"/>
      <c r="J151" s="239"/>
      <c r="K151" s="239"/>
      <c r="L151" s="239"/>
      <c r="M151" s="239"/>
      <c r="N151" s="239"/>
      <c r="O151" s="239"/>
      <c r="P151" s="239"/>
      <c r="Q151" s="239"/>
      <c r="R151" s="239"/>
      <c r="S151" s="239"/>
      <c r="T151" s="240"/>
      <c r="U151" s="241"/>
      <c r="V151" s="74">
        <f t="shared" si="6"/>
        <v>0</v>
      </c>
      <c r="W151" s="17"/>
    </row>
    <row r="152" spans="1:23" ht="12" customHeight="1" thickBot="1" x14ac:dyDescent="0.25">
      <c r="A152" s="6"/>
      <c r="B152" s="6"/>
      <c r="C152" s="13"/>
      <c r="D152" s="14"/>
      <c r="E152" s="75" t="s">
        <v>88</v>
      </c>
      <c r="F152" s="76"/>
      <c r="G152" s="15"/>
      <c r="H152" s="242"/>
      <c r="I152" s="242"/>
      <c r="J152" s="242"/>
      <c r="K152" s="242"/>
      <c r="L152" s="242"/>
      <c r="M152" s="242"/>
      <c r="N152" s="242"/>
      <c r="O152" s="242"/>
      <c r="P152" s="242"/>
      <c r="Q152" s="242"/>
      <c r="R152" s="242"/>
      <c r="S152" s="242"/>
      <c r="T152" s="243"/>
      <c r="U152" s="244"/>
      <c r="V152" s="74">
        <f t="shared" si="6"/>
        <v>0</v>
      </c>
      <c r="W152" s="17"/>
    </row>
    <row r="153" spans="1:23" s="28" customFormat="1" ht="12" customHeight="1" thickTop="1" x14ac:dyDescent="0.2">
      <c r="A153" s="23"/>
      <c r="B153" s="23"/>
      <c r="C153" s="24"/>
      <c r="D153" s="14"/>
      <c r="E153" s="50" t="s">
        <v>87</v>
      </c>
      <c r="F153" s="51"/>
      <c r="G153" s="15"/>
      <c r="H153" s="245">
        <f t="shared" ref="H153:T153" si="8">+SUM(H12:H152)</f>
        <v>109023.45</v>
      </c>
      <c r="I153" s="245">
        <f t="shared" si="8"/>
        <v>2012779.17</v>
      </c>
      <c r="J153" s="245">
        <f t="shared" si="8"/>
        <v>774113.35</v>
      </c>
      <c r="K153" s="245">
        <f t="shared" si="8"/>
        <v>95500</v>
      </c>
      <c r="L153" s="245">
        <f t="shared" si="8"/>
        <v>0</v>
      </c>
      <c r="M153" s="245">
        <f t="shared" si="8"/>
        <v>18000</v>
      </c>
      <c r="N153" s="245">
        <f t="shared" si="8"/>
        <v>0</v>
      </c>
      <c r="O153" s="245">
        <f t="shared" si="8"/>
        <v>0</v>
      </c>
      <c r="P153" s="245">
        <f t="shared" si="8"/>
        <v>0</v>
      </c>
      <c r="Q153" s="245">
        <f t="shared" si="8"/>
        <v>246483.10000000003</v>
      </c>
      <c r="R153" s="245">
        <f t="shared" si="8"/>
        <v>0</v>
      </c>
      <c r="S153" s="245">
        <f t="shared" si="8"/>
        <v>0</v>
      </c>
      <c r="T153" s="245">
        <f t="shared" si="8"/>
        <v>0</v>
      </c>
      <c r="U153" s="246"/>
      <c r="V153" s="247">
        <f t="shared" si="6"/>
        <v>3255899.0700000003</v>
      </c>
      <c r="W153" s="27"/>
    </row>
    <row r="154" spans="1:23" ht="12.6" customHeight="1" thickBot="1" x14ac:dyDescent="0.25">
      <c r="A154" s="6"/>
      <c r="B154" s="6"/>
      <c r="C154" s="32"/>
      <c r="D154" s="33"/>
      <c r="E154" s="34"/>
      <c r="F154" s="35"/>
      <c r="G154" s="35"/>
      <c r="H154" s="35"/>
      <c r="I154" s="120"/>
      <c r="J154" s="120"/>
      <c r="K154" s="120"/>
      <c r="L154" s="120"/>
      <c r="M154" s="33"/>
      <c r="N154" s="36"/>
      <c r="O154" s="397"/>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95"/>
      <c r="D158" s="296"/>
      <c r="E158" s="296"/>
      <c r="F158" s="297"/>
      <c r="G158" s="297"/>
      <c r="H158" s="298"/>
      <c r="I158" s="3"/>
      <c r="J158" s="3"/>
      <c r="K158" s="3"/>
      <c r="L158" s="3"/>
      <c r="V158" s="6"/>
    </row>
    <row r="159" spans="1:23" x14ac:dyDescent="0.2">
      <c r="C159" s="299"/>
      <c r="D159" s="16"/>
      <c r="E159" s="300" t="s">
        <v>212</v>
      </c>
      <c r="F159" s="15"/>
      <c r="G159" s="15"/>
      <c r="H159" s="31"/>
      <c r="I159" s="3"/>
      <c r="J159" s="3"/>
      <c r="K159" s="3"/>
      <c r="L159" s="3"/>
    </row>
    <row r="160" spans="1:23" x14ac:dyDescent="0.2">
      <c r="C160" s="299"/>
      <c r="D160" s="16"/>
      <c r="E160" s="3" t="s">
        <v>216</v>
      </c>
      <c r="F160" s="15" t="s">
        <v>209</v>
      </c>
      <c r="G160" s="301"/>
      <c r="H160" s="17"/>
      <c r="I160" s="3"/>
      <c r="J160" s="3"/>
      <c r="K160" s="3"/>
      <c r="L160" s="3"/>
    </row>
    <row r="161" spans="3:12" x14ac:dyDescent="0.2">
      <c r="C161" s="299"/>
      <c r="D161" s="16"/>
      <c r="E161" s="302" t="s">
        <v>211</v>
      </c>
      <c r="F161" s="303"/>
      <c r="G161" s="304"/>
      <c r="H161" s="17"/>
      <c r="I161" s="3"/>
      <c r="J161" s="3"/>
      <c r="K161" s="3"/>
      <c r="L161" s="3"/>
    </row>
    <row r="162" spans="3:12" x14ac:dyDescent="0.2">
      <c r="C162" s="299"/>
      <c r="D162" s="16"/>
      <c r="E162" s="302" t="s">
        <v>211</v>
      </c>
      <c r="F162" s="303"/>
      <c r="G162" s="304"/>
      <c r="H162" s="17"/>
      <c r="I162" s="3"/>
      <c r="J162" s="3"/>
      <c r="K162" s="3"/>
      <c r="L162" s="3"/>
    </row>
    <row r="163" spans="3:12" x14ac:dyDescent="0.2">
      <c r="C163" s="299"/>
      <c r="D163" s="16"/>
      <c r="E163" s="302" t="s">
        <v>211</v>
      </c>
      <c r="F163" s="303"/>
      <c r="G163" s="304"/>
      <c r="H163" s="17"/>
      <c r="I163" s="3"/>
      <c r="J163" s="3"/>
      <c r="K163" s="3"/>
      <c r="L163" s="3"/>
    </row>
    <row r="164" spans="3:12" x14ac:dyDescent="0.2">
      <c r="C164" s="299"/>
      <c r="D164" s="16"/>
      <c r="E164" s="302" t="s">
        <v>211</v>
      </c>
      <c r="F164" s="303"/>
      <c r="G164" s="304"/>
      <c r="H164" s="17"/>
      <c r="I164" s="3"/>
      <c r="J164" s="3"/>
      <c r="K164" s="3"/>
      <c r="L164" s="3"/>
    </row>
    <row r="165" spans="3:12" x14ac:dyDescent="0.2">
      <c r="C165" s="299"/>
      <c r="D165" s="16"/>
      <c r="E165" s="302" t="s">
        <v>211</v>
      </c>
      <c r="F165" s="303"/>
      <c r="G165" s="304"/>
      <c r="H165" s="17"/>
      <c r="I165" s="3"/>
      <c r="J165" s="3"/>
      <c r="K165" s="3"/>
      <c r="L165" s="3"/>
    </row>
    <row r="166" spans="3:12" x14ac:dyDescent="0.2">
      <c r="C166" s="299"/>
      <c r="D166" s="16"/>
      <c r="E166" s="302" t="s">
        <v>211</v>
      </c>
      <c r="F166" s="303"/>
      <c r="G166" s="304"/>
      <c r="H166" s="17"/>
      <c r="I166" s="3"/>
      <c r="J166" s="3"/>
      <c r="K166" s="3"/>
      <c r="L166" s="3"/>
    </row>
    <row r="167" spans="3:12" x14ac:dyDescent="0.2">
      <c r="C167" s="299"/>
      <c r="D167" s="16"/>
      <c r="E167" s="302" t="s">
        <v>211</v>
      </c>
      <c r="F167" s="303"/>
      <c r="G167" s="304"/>
      <c r="H167" s="17"/>
      <c r="I167" s="3"/>
      <c r="J167" s="3"/>
      <c r="K167" s="3"/>
      <c r="L167" s="3"/>
    </row>
    <row r="168" spans="3:12" x14ac:dyDescent="0.2">
      <c r="C168" s="299"/>
      <c r="D168" s="16"/>
      <c r="E168" s="302" t="s">
        <v>211</v>
      </c>
      <c r="F168" s="303"/>
      <c r="G168" s="304"/>
      <c r="H168" s="17"/>
      <c r="I168" s="3"/>
      <c r="J168" s="3"/>
      <c r="K168" s="3"/>
      <c r="L168" s="3"/>
    </row>
    <row r="169" spans="3:12" x14ac:dyDescent="0.2">
      <c r="C169" s="299"/>
      <c r="D169" s="16"/>
      <c r="E169" s="302" t="s">
        <v>211</v>
      </c>
      <c r="F169" s="303"/>
      <c r="G169" s="304"/>
      <c r="H169" s="17"/>
      <c r="I169" s="3"/>
      <c r="J169" s="3"/>
      <c r="K169" s="3"/>
      <c r="L169" s="3"/>
    </row>
    <row r="170" spans="3:12" x14ac:dyDescent="0.2">
      <c r="C170" s="299"/>
      <c r="D170" s="16"/>
      <c r="E170" s="302" t="s">
        <v>211</v>
      </c>
      <c r="F170" s="303"/>
      <c r="G170" s="304"/>
      <c r="H170" s="17"/>
      <c r="I170" s="3"/>
      <c r="J170" s="3"/>
      <c r="K170" s="3"/>
      <c r="L170" s="3"/>
    </row>
    <row r="171" spans="3:12" x14ac:dyDescent="0.2">
      <c r="C171" s="299"/>
      <c r="D171" s="16"/>
      <c r="E171" s="302" t="s">
        <v>211</v>
      </c>
      <c r="F171" s="303"/>
      <c r="G171" s="304"/>
      <c r="H171" s="17"/>
      <c r="I171" s="3"/>
      <c r="J171" s="3"/>
      <c r="K171" s="3"/>
      <c r="L171" s="3"/>
    </row>
    <row r="172" spans="3:12" x14ac:dyDescent="0.2">
      <c r="C172" s="299"/>
      <c r="D172" s="16"/>
      <c r="E172" s="302" t="s">
        <v>211</v>
      </c>
      <c r="F172" s="303"/>
      <c r="G172" s="304"/>
      <c r="H172" s="17"/>
      <c r="I172" s="3"/>
      <c r="J172" s="3"/>
      <c r="K172" s="3"/>
      <c r="L172" s="3"/>
    </row>
    <row r="173" spans="3:12" x14ac:dyDescent="0.2">
      <c r="C173" s="299"/>
      <c r="D173" s="16"/>
      <c r="E173" s="302" t="s">
        <v>211</v>
      </c>
      <c r="F173" s="303"/>
      <c r="G173" s="304"/>
      <c r="H173" s="17"/>
      <c r="I173" s="3"/>
      <c r="J173" s="3"/>
      <c r="K173" s="3"/>
      <c r="L173" s="3"/>
    </row>
    <row r="174" spans="3:12" x14ac:dyDescent="0.2">
      <c r="C174" s="299"/>
      <c r="D174" s="16"/>
      <c r="E174" s="305" t="s">
        <v>87</v>
      </c>
      <c r="F174" s="306">
        <f>SUM(F161:F173)</f>
        <v>0</v>
      </c>
      <c r="G174" s="306"/>
      <c r="H174" s="17"/>
      <c r="I174" s="3"/>
      <c r="J174" s="3"/>
      <c r="K174" s="3"/>
      <c r="L174" s="3"/>
    </row>
    <row r="175" spans="3:12" x14ac:dyDescent="0.2">
      <c r="C175" s="299"/>
      <c r="D175" s="16"/>
      <c r="E175" s="305"/>
      <c r="F175" s="307"/>
      <c r="G175" s="307"/>
      <c r="H175" s="17"/>
      <c r="I175" s="3"/>
      <c r="J175" s="3"/>
      <c r="K175" s="3"/>
      <c r="L175" s="3"/>
    </row>
    <row r="176" spans="3:12" x14ac:dyDescent="0.2">
      <c r="C176" s="299"/>
      <c r="D176" s="16"/>
      <c r="E176" s="305" t="s">
        <v>213</v>
      </c>
      <c r="F176" s="308">
        <f>V152</f>
        <v>0</v>
      </c>
      <c r="G176" s="308"/>
      <c r="H176" s="17"/>
      <c r="I176" s="3"/>
      <c r="J176" s="3"/>
      <c r="K176" s="3"/>
      <c r="L176" s="3"/>
    </row>
    <row r="177" spans="3:12" x14ac:dyDescent="0.2">
      <c r="C177" s="299"/>
      <c r="D177" s="16"/>
      <c r="E177" s="30" t="s">
        <v>189</v>
      </c>
      <c r="F177" s="316">
        <f>F174-F176</f>
        <v>0</v>
      </c>
      <c r="G177" s="308"/>
      <c r="H177" s="17"/>
      <c r="I177" s="3"/>
      <c r="J177" s="3"/>
      <c r="K177" s="3"/>
      <c r="L177" s="3"/>
    </row>
    <row r="178" spans="3:12" ht="14.25" x14ac:dyDescent="0.2">
      <c r="C178" s="299"/>
      <c r="D178" s="16"/>
      <c r="E178" s="310" t="s">
        <v>210</v>
      </c>
      <c r="F178" s="321" t="str">
        <f>IF(F177="","",IF(F177=0,"OK","ISSUE"))</f>
        <v>OK</v>
      </c>
      <c r="G178" s="309"/>
      <c r="H178" s="17"/>
      <c r="I178" s="3"/>
      <c r="J178" s="3"/>
      <c r="K178" s="3"/>
      <c r="L178" s="3"/>
    </row>
    <row r="179" spans="3:12" x14ac:dyDescent="0.2">
      <c r="C179" s="299"/>
      <c r="D179" s="16"/>
      <c r="G179" s="311"/>
      <c r="H179" s="17"/>
      <c r="I179" s="3"/>
      <c r="J179" s="3"/>
      <c r="K179" s="3"/>
      <c r="L179" s="3"/>
    </row>
    <row r="180" spans="3:12" ht="13.5" thickBot="1" x14ac:dyDescent="0.25">
      <c r="C180" s="312"/>
      <c r="D180" s="313"/>
      <c r="E180" s="313"/>
      <c r="F180" s="314"/>
      <c r="G180" s="314"/>
      <c r="H180" s="315"/>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J111" activePane="bottomRight" state="frozen"/>
      <selection activeCell="F10" sqref="F10"/>
      <selection pane="topRight" activeCell="F10" sqref="F10"/>
      <selection pane="bottomLeft" activeCell="F10" sqref="F10"/>
      <selection pane="bottomRight" activeCell="X111" sqref="X1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457</v>
      </c>
      <c r="C2" s="49"/>
      <c r="F2" s="14"/>
    </row>
    <row r="3" spans="1:19" ht="16.350000000000001" customHeight="1" x14ac:dyDescent="0.25">
      <c r="B3" s="43" t="str">
        <f>'Revenue - Base year'!B3</f>
        <v>Queenscliffe (B)</v>
      </c>
      <c r="C3" s="49"/>
      <c r="F3" s="6"/>
      <c r="G3" s="6"/>
      <c r="N3" s="8"/>
      <c r="O3" s="8"/>
      <c r="P3" s="8"/>
      <c r="Q3" s="8"/>
    </row>
    <row r="4" spans="1:19" ht="13.5" thickBot="1" x14ac:dyDescent="0.25">
      <c r="B4" s="764"/>
      <c r="C4" s="764"/>
      <c r="D4" s="764"/>
      <c r="E4" s="764"/>
    </row>
    <row r="5" spans="1:19" ht="10.5" customHeight="1" x14ac:dyDescent="0.2">
      <c r="C5" s="9"/>
      <c r="D5" s="10"/>
      <c r="E5" s="10"/>
      <c r="F5" s="11"/>
      <c r="G5" s="119"/>
      <c r="H5" s="10"/>
      <c r="I5" s="10"/>
      <c r="J5" s="320"/>
      <c r="K5" s="10"/>
      <c r="L5" s="320"/>
      <c r="M5" s="320"/>
      <c r="N5" s="10"/>
      <c r="O5" s="320"/>
      <c r="P5" s="320"/>
      <c r="Q5" s="320"/>
      <c r="R5" s="10"/>
      <c r="S5" s="47"/>
    </row>
    <row r="6" spans="1:19" ht="13.5" customHeight="1" x14ac:dyDescent="0.2">
      <c r="C6" s="13"/>
      <c r="D6" s="45"/>
      <c r="E6" s="46"/>
      <c r="H6" s="768" t="str">
        <f>' Instructions'!C9</f>
        <v>2016-17</v>
      </c>
      <c r="I6" s="769"/>
      <c r="J6" s="770"/>
      <c r="K6" s="769"/>
      <c r="L6" s="770"/>
      <c r="M6" s="770"/>
      <c r="N6" s="769"/>
      <c r="O6" s="770"/>
      <c r="P6" s="770"/>
      <c r="Q6" s="770"/>
      <c r="R6" s="771"/>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69" t="s">
        <v>113</v>
      </c>
      <c r="G8" s="26"/>
      <c r="H8" s="269" t="s">
        <v>79</v>
      </c>
      <c r="I8" s="269" t="s">
        <v>80</v>
      </c>
      <c r="J8" s="398" t="s">
        <v>260</v>
      </c>
      <c r="K8" s="269" t="s">
        <v>141</v>
      </c>
      <c r="L8" s="398" t="s">
        <v>338</v>
      </c>
      <c r="M8" s="398" t="s">
        <v>261</v>
      </c>
      <c r="N8" s="63" t="s">
        <v>82</v>
      </c>
      <c r="O8" s="401" t="s">
        <v>340</v>
      </c>
      <c r="P8" s="401" t="s">
        <v>335</v>
      </c>
      <c r="Q8" s="401" t="s">
        <v>337</v>
      </c>
      <c r="R8" s="107" t="s">
        <v>83</v>
      </c>
      <c r="S8" s="31"/>
    </row>
    <row r="9" spans="1:19" x14ac:dyDescent="0.2">
      <c r="C9" s="13"/>
      <c r="D9" s="14"/>
      <c r="E9" s="54"/>
      <c r="F9" s="150"/>
      <c r="G9" s="26"/>
      <c r="H9" s="150" t="s">
        <v>165</v>
      </c>
      <c r="I9" s="150" t="s">
        <v>165</v>
      </c>
      <c r="J9" s="150" t="s">
        <v>165</v>
      </c>
      <c r="K9" s="150" t="s">
        <v>165</v>
      </c>
      <c r="L9" s="150" t="s">
        <v>165</v>
      </c>
      <c r="M9" s="150" t="s">
        <v>165</v>
      </c>
      <c r="N9" s="150" t="s">
        <v>165</v>
      </c>
      <c r="O9" s="150" t="s">
        <v>165</v>
      </c>
      <c r="P9" s="150" t="s">
        <v>165</v>
      </c>
      <c r="Q9" s="150" t="s">
        <v>165</v>
      </c>
      <c r="R9" s="150"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7" t="str">
        <f>IF(OR('Services - Base year'!E10="",'Services - Base year'!E10="[Enter service]"),"",'Services - Base year'!E10)</f>
        <v>Aged Services</v>
      </c>
      <c r="F11" s="68" t="str">
        <f>IF(OR('Services - Base year'!F10="",'Services - Base year'!F10="[Select]"),"",'Services - Base year'!F10)</f>
        <v>External</v>
      </c>
      <c r="G11" s="26"/>
      <c r="H11" s="236">
        <f>GETPIVOTDATA("Sum of 2016/17",'[4]ESC Employees'!$A$3,"Stat of Inc &amp; Exp (Available Cash)","Employee costs","Strategic Objectives (KSAs)","SO1 - 01 - Aged and Disability Services - Exp")</f>
        <v>501542.12</v>
      </c>
      <c r="I11" s="236">
        <f>GETPIVOTDATA("Sum of 2016/17",'[4]ESC Mat &amp; Serv'!$A$3,"Stat of Inc &amp; Exp (Available Cash)","Materials and services","Strategic Objectives (KSAs)","SO1 - 01 - Aged and Disability Services - Exp")</f>
        <v>149100.29999999999</v>
      </c>
      <c r="J11" s="69"/>
      <c r="K11" s="69"/>
      <c r="L11" s="69"/>
      <c r="M11" s="69"/>
      <c r="N11" s="69"/>
      <c r="O11" s="69"/>
      <c r="P11" s="69"/>
      <c r="Q11" s="399"/>
      <c r="R11" s="424">
        <f>SUM(H11:Q11)</f>
        <v>650642.41999999993</v>
      </c>
      <c r="S11" s="31"/>
    </row>
    <row r="12" spans="1:19" ht="12" customHeight="1" x14ac:dyDescent="0.2">
      <c r="C12" s="13"/>
      <c r="D12" s="19">
        <f>'Revenue - Base year'!D13</f>
        <v>2</v>
      </c>
      <c r="E12" s="67" t="str">
        <f>IF(OR('Services - Base year'!E11="",'Services - Base year'!E11="[Enter service]"),"",'Services - Base year'!E11)</f>
        <v>Active Communities</v>
      </c>
      <c r="F12" s="68" t="str">
        <f>IF(OR('Services - Base year'!F11="",'Services - Base year'!F11="[Select]"),"",'Services - Base year'!F11)</f>
        <v>External</v>
      </c>
      <c r="G12" s="26"/>
      <c r="H12" s="73">
        <f>GETPIVOTDATA("Sum of 2016/17",'[4]ESC Employees'!$A$3,"Stat of Inc &amp; Exp (Available Cash)","Employee costs","Strategic Objectives (KSAs)","SO1 - 02 - Active Communities - Exp")</f>
        <v>95444</v>
      </c>
      <c r="I12" s="73">
        <f>GETPIVOTDATA("Sum of 2016/17",'[4]ESC Mat &amp; Serv'!$A$3,"Stat of Inc &amp; Exp (Available Cash)","Materials and services","Strategic Objectives (KSAs)","SO1 - 02 - Active Communities - Exp")</f>
        <v>33789.60272727273</v>
      </c>
      <c r="J12" s="73"/>
      <c r="K12" s="73"/>
      <c r="L12" s="73"/>
      <c r="M12" s="73"/>
      <c r="N12" s="73"/>
      <c r="O12" s="73"/>
      <c r="P12" s="73"/>
      <c r="Q12" s="400"/>
      <c r="R12" s="425">
        <f t="shared" ref="R12:R75" si="0">SUM(H12:Q12)</f>
        <v>129233.60272727272</v>
      </c>
      <c r="S12" s="31"/>
    </row>
    <row r="13" spans="1:19" ht="12" customHeight="1" x14ac:dyDescent="0.2">
      <c r="C13" s="13"/>
      <c r="D13" s="19">
        <f>'Revenue - Base year'!D14</f>
        <v>3</v>
      </c>
      <c r="E13" s="67" t="str">
        <f>IF(OR('Services - Base year'!E12="",'Services - Base year'!E12="[Enter service]"),"",'Services - Base year'!E12)</f>
        <v>Community Events</v>
      </c>
      <c r="F13" s="68" t="str">
        <f>IF(OR('Services - Base year'!F12="",'Services - Base year'!F12="[Select]"),"",'Services - Base year'!F12)</f>
        <v>External</v>
      </c>
      <c r="G13" s="26"/>
      <c r="H13" s="73">
        <f>GETPIVOTDATA("Sum of 2016/17",'[4]ESC Employees'!$A$3,"Stat of Inc &amp; Exp (Available Cash)","Employee costs","Strategic Objectives (KSAs)","SO1 - 03 - Community Events - Exp")</f>
        <v>36500</v>
      </c>
      <c r="I13" s="73">
        <f>GETPIVOTDATA("Sum of 2016/17",'[4]ESC Mat &amp; Serv'!$A$3,"Stat of Inc &amp; Exp (Available Cash)","Materials and services","Strategic Objectives (KSAs)","SO1 - 03 - Community Events - Exp")</f>
        <v>91000</v>
      </c>
      <c r="J13" s="73"/>
      <c r="K13" s="73"/>
      <c r="L13" s="73"/>
      <c r="M13" s="73"/>
      <c r="N13" s="73"/>
      <c r="O13" s="73"/>
      <c r="P13" s="73"/>
      <c r="Q13" s="400"/>
      <c r="R13" s="425">
        <f t="shared" si="0"/>
        <v>127500</v>
      </c>
      <c r="S13" s="31"/>
    </row>
    <row r="14" spans="1:19" ht="12" customHeight="1" x14ac:dyDescent="0.2">
      <c r="C14" s="13"/>
      <c r="D14" s="19">
        <f>'Revenue - Base year'!D15</f>
        <v>4</v>
      </c>
      <c r="E14" s="67" t="str">
        <f>IF(OR('Services - Base year'!E13="",'Services - Base year'!E13="[Enter service]"),"",'Services - Base year'!E13)</f>
        <v>Maternal and Child Health (MCH)</v>
      </c>
      <c r="F14" s="68" t="str">
        <f>IF(OR('Services - Base year'!F13="",'Services - Base year'!F13="[Select]"),"",'Services - Base year'!F13)</f>
        <v>External</v>
      </c>
      <c r="G14" s="26"/>
      <c r="H14" s="73"/>
      <c r="I14" s="73">
        <f>GETPIVOTDATA("Sum of 2016/17",'[4]ESC Mat &amp; Serv'!$A$3,"Stat of Inc &amp; Exp (Available Cash)","Materials and services","Strategic Objectives (KSAs)","SO1 - 04 - Maternal and Child Health (MCH) Exp")</f>
        <v>60500.003999999994</v>
      </c>
      <c r="J14" s="73"/>
      <c r="K14" s="73"/>
      <c r="L14" s="73"/>
      <c r="M14" s="73"/>
      <c r="N14" s="73">
        <f>GETPIVOTDATA("Sum of 2016/17",'[4]ESC Other Exp'!$A$3,"Stat of Inc &amp; Exp (Available Cash)","Other expenses","Strategic Objectives (KSAs)","SO1 - 04 - Maternal and Child Health (MCH) Exp")</f>
        <v>49.32</v>
      </c>
      <c r="O14" s="73"/>
      <c r="P14" s="73"/>
      <c r="Q14" s="400"/>
      <c r="R14" s="425">
        <f t="shared" si="0"/>
        <v>60549.323999999993</v>
      </c>
      <c r="S14" s="31"/>
    </row>
    <row r="15" spans="1:19" ht="12" customHeight="1" x14ac:dyDescent="0.2">
      <c r="C15" s="13"/>
      <c r="D15" s="19">
        <f>'Revenue - Base year'!D16</f>
        <v>5</v>
      </c>
      <c r="E15" s="67" t="str">
        <f>IF(OR('Services - Base year'!E14="",'Services - Base year'!E14="[Enter service]"),"",'Services - Base year'!E14)</f>
        <v>Kindergarten</v>
      </c>
      <c r="F15" s="68" t="str">
        <f>IF(OR('Services - Base year'!F14="",'Services - Base year'!F14="[Select]"),"",'Services - Base year'!F14)</f>
        <v>External</v>
      </c>
      <c r="G15" s="26"/>
      <c r="H15" s="73"/>
      <c r="I15" s="73"/>
      <c r="J15" s="73"/>
      <c r="K15" s="73"/>
      <c r="L15" s="73"/>
      <c r="M15" s="73"/>
      <c r="N15" s="73"/>
      <c r="O15" s="73"/>
      <c r="P15" s="73"/>
      <c r="Q15" s="400"/>
      <c r="R15" s="425">
        <f t="shared" si="0"/>
        <v>0</v>
      </c>
      <c r="S15" s="31"/>
    </row>
    <row r="16" spans="1:19" ht="12" customHeight="1" x14ac:dyDescent="0.2">
      <c r="C16" s="13"/>
      <c r="D16" s="19">
        <f>'Revenue - Base year'!D17</f>
        <v>6</v>
      </c>
      <c r="E16" s="67" t="str">
        <f>IF(OR('Services - Base year'!E15="",'Services - Base year'!E15="[Enter service]"),"",'Services - Base year'!E15)</f>
        <v>Environmental Health</v>
      </c>
      <c r="F16" s="68" t="str">
        <f>IF(OR('Services - Base year'!F15="",'Services - Base year'!F15="[Select]"),"",'Services - Base year'!F15)</f>
        <v>External</v>
      </c>
      <c r="G16" s="26"/>
      <c r="H16" s="73">
        <f>GETPIVOTDATA("Sum of 2016/17",'[4]ESC Employees'!$A$3,"Stat of Inc &amp; Exp (Available Cash)","Employee costs","Strategic Objectives (KSAs)","SO1 - 06 - Environmental Health Exp")-H23</f>
        <v>78284.057752924506</v>
      </c>
      <c r="I16" s="73">
        <f>GETPIVOTDATA("Sum of 2016/17",'[4]ESC Mat &amp; Serv'!$A$3,"Stat of Inc &amp; Exp (Available Cash)","Materials and services","Strategic Objectives (KSAs)","SO1 - 06 - Environmental Health Exp")</f>
        <v>39271.07</v>
      </c>
      <c r="J16" s="73"/>
      <c r="K16" s="73"/>
      <c r="L16" s="73"/>
      <c r="M16" s="73"/>
      <c r="N16" s="73"/>
      <c r="O16" s="73"/>
      <c r="P16" s="73"/>
      <c r="Q16" s="400"/>
      <c r="R16" s="425">
        <f t="shared" si="0"/>
        <v>117555.12775292451</v>
      </c>
      <c r="S16" s="31"/>
    </row>
    <row r="17" spans="3:19" ht="12" customHeight="1" x14ac:dyDescent="0.2">
      <c r="C17" s="13"/>
      <c r="D17" s="19">
        <f>'Revenue - Base year'!D18</f>
        <v>7</v>
      </c>
      <c r="E17" s="67" t="str">
        <f>IF(OR('Services - Base year'!E16="",'Services - Base year'!E16="[Enter service]"),"",'Services - Base year'!E16)</f>
        <v>Asset Management and Appearance of Public Places</v>
      </c>
      <c r="F17" s="68" t="str">
        <f>IF(OR('Services - Base year'!F16="",'Services - Base year'!F16="[Select]"),"",'Services - Base year'!F16)</f>
        <v>External</v>
      </c>
      <c r="G17" s="26"/>
      <c r="H17" s="73"/>
      <c r="I17" s="73">
        <f>GETPIVOTDATA("Sum of 2016/17",'[4]ESC Mat &amp; Serv'!$A$3,"Stat of Inc &amp; Exp (Available Cash)","Materials and services","Strategic Objectives (KSAs)","SO1 - 07 - Asset Management and Appearance of Public Places - Exp")</f>
        <v>1036615.09</v>
      </c>
      <c r="J17" s="73"/>
      <c r="K17" s="73"/>
      <c r="L17" s="73"/>
      <c r="M17" s="73"/>
      <c r="N17" s="73"/>
      <c r="O17" s="73"/>
      <c r="P17" s="73"/>
      <c r="Q17" s="400"/>
      <c r="R17" s="425">
        <f t="shared" si="0"/>
        <v>1036615.09</v>
      </c>
      <c r="S17" s="31"/>
    </row>
    <row r="18" spans="3:19" ht="12" customHeight="1" x14ac:dyDescent="0.2">
      <c r="C18" s="13"/>
      <c r="D18" s="19">
        <f>'Revenue - Base year'!D19</f>
        <v>8</v>
      </c>
      <c r="E18" s="67" t="str">
        <f>IF(OR('Services - Base year'!E17="",'Services - Base year'!E17="[Enter service]"),"",'Services - Base year'!E17)</f>
        <v>Local Laws, Safety and Amenity</v>
      </c>
      <c r="F18" s="68" t="str">
        <f>IF(OR('Services - Base year'!F17="",'Services - Base year'!F17="[Select]"),"",'Services - Base year'!F17)</f>
        <v>External</v>
      </c>
      <c r="G18" s="26"/>
      <c r="H18" s="73">
        <f>GETPIVOTDATA("Sum of 2016/17",'[4]ESC Employees'!$A$3,"Stat of Inc &amp; Exp (Available Cash)","Employee costs","Strategic Objectives (KSAs)","SO1 - 08 - Local Laws, Safety and Amenity - Exp")</f>
        <v>256479.53000000003</v>
      </c>
      <c r="I18" s="73">
        <f>GETPIVOTDATA("Sum of 2016/17",'[4]ESC Mat &amp; Serv'!$A$3,"Stat of Inc &amp; Exp (Available Cash)","Materials and services","Strategic Objectives (KSAs)","SO1 - 08 - Local Laws, Safety and Amenity - Exp")</f>
        <v>25182</v>
      </c>
      <c r="J18" s="73"/>
      <c r="K18" s="73"/>
      <c r="L18" s="73"/>
      <c r="M18" s="73"/>
      <c r="N18" s="73">
        <f>GETPIVOTDATA("Sum of 2016/17",'[4]ESC Other Exp'!$A$3,"Stat of Inc &amp; Exp (Available Cash)","Other expenses","Strategic Objectives (KSAs)","SO1 - 08 - Local Laws, Safety and Amenity - Exp")</f>
        <v>1000</v>
      </c>
      <c r="O18" s="73"/>
      <c r="P18" s="73"/>
      <c r="Q18" s="400"/>
      <c r="R18" s="425">
        <f t="shared" si="0"/>
        <v>282661.53000000003</v>
      </c>
      <c r="S18" s="31"/>
    </row>
    <row r="19" spans="3:19" ht="12" customHeight="1" x14ac:dyDescent="0.2">
      <c r="C19" s="13"/>
      <c r="D19" s="19">
        <f>'Revenue - Base year'!D20</f>
        <v>9</v>
      </c>
      <c r="E19" s="67" t="str">
        <f>IF(OR('Services - Base year'!E18="",'Services - Base year'!E18="[Enter service]"),"",'Services - Base year'!E18)</f>
        <v>Street Lighting</v>
      </c>
      <c r="F19" s="68" t="str">
        <f>IF(OR('Services - Base year'!F18="",'Services - Base year'!F18="[Select]"),"",'Services - Base year'!F18)</f>
        <v>External</v>
      </c>
      <c r="G19" s="26"/>
      <c r="H19" s="73"/>
      <c r="I19" s="73">
        <f>GETPIVOTDATA("Sum of 2016/17",'[4]ESC Mat &amp; Serv'!$A$3,"Stat of Inc &amp; Exp (Available Cash)","Materials and services","Strategic Objectives (KSAs)","SO1 - 09 - Street Lighting Exp")</f>
        <v>43800</v>
      </c>
      <c r="J19" s="73"/>
      <c r="K19" s="73"/>
      <c r="L19" s="73"/>
      <c r="M19" s="73"/>
      <c r="N19" s="73"/>
      <c r="O19" s="73"/>
      <c r="P19" s="73"/>
      <c r="Q19" s="400"/>
      <c r="R19" s="425">
        <f t="shared" si="0"/>
        <v>43800</v>
      </c>
      <c r="S19" s="31"/>
    </row>
    <row r="20" spans="3:19" ht="12" customHeight="1" x14ac:dyDescent="0.2">
      <c r="C20" s="13"/>
      <c r="D20" s="19">
        <f>'Revenue - Base year'!D21</f>
        <v>10</v>
      </c>
      <c r="E20" s="67" t="str">
        <f>IF(OR('Services - Base year'!E19="",'Services - Base year'!E19="[Enter service]"),"",'Services - Base year'!E19)</f>
        <v>Powerline Safety</v>
      </c>
      <c r="F20" s="68" t="str">
        <f>IF(OR('Services - Base year'!F19="",'Services - Base year'!F19="[Select]"),"",'Services - Base year'!F19)</f>
        <v>External</v>
      </c>
      <c r="G20" s="26"/>
      <c r="H20" s="73"/>
      <c r="I20" s="73">
        <f>GETPIVOTDATA("Sum of 2016/17",'[4]ESC Mat &amp; Serv'!$A$3,"Stat of Inc &amp; Exp (Available Cash)","Materials and services","Strategic Objectives (KSAs)","SO1 - 10 - Powerline Clearance")</f>
        <v>76792</v>
      </c>
      <c r="J20" s="73"/>
      <c r="K20" s="73"/>
      <c r="L20" s="73"/>
      <c r="M20" s="73"/>
      <c r="N20" s="73"/>
      <c r="O20" s="73"/>
      <c r="P20" s="73"/>
      <c r="Q20" s="400"/>
      <c r="R20" s="425">
        <f t="shared" si="0"/>
        <v>76792</v>
      </c>
      <c r="S20" s="31"/>
    </row>
    <row r="21" spans="3:19" ht="12" customHeight="1" x14ac:dyDescent="0.2">
      <c r="C21" s="13"/>
      <c r="D21" s="19">
        <f>'Revenue - Base year'!D22</f>
        <v>11</v>
      </c>
      <c r="E21" s="67" t="str">
        <f>IF(OR('Services - Base year'!E20="",'Services - Base year'!E20="[Enter service]"),"",'Services - Base year'!E20)</f>
        <v>Library</v>
      </c>
      <c r="F21" s="68" t="str">
        <f>IF(OR('Services - Base year'!F20="",'Services - Base year'!F20="[Select]"),"",'Services - Base year'!F20)</f>
        <v>External</v>
      </c>
      <c r="G21" s="26"/>
      <c r="H21" s="73"/>
      <c r="I21" s="73">
        <f>GETPIVOTDATA("Sum of 2016/17",'[4]ESC Mat &amp; Serv'!$A$3,"Stat of Inc &amp; Exp (Available Cash)","Materials and services","Strategic Objectives (KSAs)","SO1 - 11 - Library Exp")</f>
        <v>225157</v>
      </c>
      <c r="J21" s="73"/>
      <c r="K21" s="73"/>
      <c r="L21" s="73"/>
      <c r="M21" s="73"/>
      <c r="N21" s="73"/>
      <c r="O21" s="73"/>
      <c r="P21" s="73"/>
      <c r="Q21" s="400"/>
      <c r="R21" s="425">
        <f t="shared" si="0"/>
        <v>225157</v>
      </c>
      <c r="S21" s="31"/>
    </row>
    <row r="22" spans="3:19" ht="12" customHeight="1" x14ac:dyDescent="0.2">
      <c r="C22" s="13"/>
      <c r="D22" s="19">
        <f>'Revenue - Base year'!D23</f>
        <v>12</v>
      </c>
      <c r="E22" s="67" t="str">
        <f>IF(OR('Services - Base year'!E21="",'Services - Base year'!E21="[Enter service]"),"",'Services - Base year'!E21)</f>
        <v>Recreation, Arts and Culture</v>
      </c>
      <c r="F22" s="68" t="str">
        <f>IF(OR('Services - Base year'!F21="",'Services - Base year'!F21="[Select]"),"",'Services - Base year'!F21)</f>
        <v>External</v>
      </c>
      <c r="G22" s="26"/>
      <c r="H22" s="73"/>
      <c r="I22" s="73">
        <f>GETPIVOTDATA("Sum of 2016/17",'[4]ESC Mat &amp; Serv'!$A$3,"Stat of Inc &amp; Exp (Available Cash)","Materials and services","Strategic Objectives (KSAs)","SO1 - 12 - Recreation, Arts and Culture - Exp")</f>
        <v>28500</v>
      </c>
      <c r="J22" s="73"/>
      <c r="K22" s="73"/>
      <c r="L22" s="73"/>
      <c r="M22" s="73"/>
      <c r="N22" s="73"/>
      <c r="O22" s="73"/>
      <c r="P22" s="73"/>
      <c r="Q22" s="400"/>
      <c r="R22" s="425">
        <f t="shared" si="0"/>
        <v>28500</v>
      </c>
      <c r="S22" s="31"/>
    </row>
    <row r="23" spans="3:19" ht="12" customHeight="1" x14ac:dyDescent="0.2">
      <c r="C23" s="13"/>
      <c r="D23" s="19">
        <f>'Revenue - Base year'!D24</f>
        <v>13</v>
      </c>
      <c r="E23" s="67" t="str">
        <f>IF(OR('Services - Base year'!E22="",'Services - Base year'!E22="[Enter service]"),"",'Services - Base year'!E22)</f>
        <v>Environmental Sustainability</v>
      </c>
      <c r="F23" s="68" t="str">
        <f>IF(OR('Services - Base year'!F22="",'Services - Base year'!F22="[Select]"),"",'Services - Base year'!F22)</f>
        <v>Mixed</v>
      </c>
      <c r="G23" s="26"/>
      <c r="H23" s="73">
        <f>'[3]2017-18 BUDGET'!$AA$55/1.02</f>
        <v>71068.412247075496</v>
      </c>
      <c r="I23" s="73">
        <f>GETPIVOTDATA("Sum of 2016/17",'[4]ESC Mat &amp; Serv'!$A$3,"Stat of Inc &amp; Exp (Available Cash)","Materials and services","Strategic Objectives (KSAs)","SO2 - 01 - Environmental Sustainability - Exp")</f>
        <v>50652.990000000005</v>
      </c>
      <c r="J23" s="73"/>
      <c r="K23" s="73"/>
      <c r="L23" s="73"/>
      <c r="M23" s="73"/>
      <c r="N23" s="73"/>
      <c r="O23" s="73"/>
      <c r="P23" s="73"/>
      <c r="Q23" s="400"/>
      <c r="R23" s="425">
        <f t="shared" si="0"/>
        <v>121721.4022470755</v>
      </c>
      <c r="S23" s="31"/>
    </row>
    <row r="24" spans="3:19" ht="12" customHeight="1" x14ac:dyDescent="0.2">
      <c r="C24" s="13"/>
      <c r="D24" s="19">
        <f>'Revenue - Base year'!D25</f>
        <v>14</v>
      </c>
      <c r="E24" s="67" t="str">
        <f>IF(OR('Services - Base year'!E23="",'Services - Base year'!E23="[Enter service]"),"",'Services - Base year'!E23)</f>
        <v>Coastal Protection</v>
      </c>
      <c r="F24" s="68" t="str">
        <f>IF(OR('Services - Base year'!F23="",'Services - Base year'!F23="[Select]"),"",'Services - Base year'!F23)</f>
        <v>External</v>
      </c>
      <c r="G24" s="26"/>
      <c r="H24" s="73">
        <f>GETPIVOTDATA("Sum of 2016/17",'[4]ESC Employees'!$A$3,"Stat of Inc &amp; Exp (Available Cash)","Employee costs","Strategic Objectives (KSAs)","SO2 - 02 - Coastal Protection - Exp")</f>
        <v>123735.53</v>
      </c>
      <c r="I24" s="73">
        <f>GETPIVOTDATA("Sum of 2016/17",'[4]ESC Mat &amp; Serv'!$A$3,"Stat of Inc &amp; Exp (Available Cash)","Materials and services","Strategic Objectives (KSAs)","SO2 - 02 - Coastal Protection - Exp")</f>
        <v>369930.29000000004</v>
      </c>
      <c r="J24" s="73"/>
      <c r="K24" s="73"/>
      <c r="L24" s="73"/>
      <c r="M24" s="73"/>
      <c r="N24" s="73">
        <f>GETPIVOTDATA("Sum of 2016/17",'[4]ESC Other Exp'!$A$3,"Stat of Inc &amp; Exp (Available Cash)","Other expenses","Strategic Objectives (KSAs)","SO2 - 02 - Coastal Protection - Exp")</f>
        <v>1007.12</v>
      </c>
      <c r="O24" s="73"/>
      <c r="P24" s="73"/>
      <c r="Q24" s="400"/>
      <c r="R24" s="425">
        <f t="shared" si="0"/>
        <v>494672.94000000006</v>
      </c>
      <c r="S24" s="31"/>
    </row>
    <row r="25" spans="3:19" ht="12" customHeight="1" x14ac:dyDescent="0.2">
      <c r="C25" s="13"/>
      <c r="D25" s="19">
        <f>'Revenue - Base year'!D26</f>
        <v>15</v>
      </c>
      <c r="E25" s="67" t="str">
        <f>IF(OR('Services - Base year'!E24="",'Services - Base year'!E24="[Enter service]"),"",'Services - Base year'!E24)</f>
        <v>Waste Management and Recycling</v>
      </c>
      <c r="F25" s="68" t="str">
        <f>IF(OR('Services - Base year'!F24="",'Services - Base year'!F24="[Select]"),"",'Services - Base year'!F24)</f>
        <v>External</v>
      </c>
      <c r="G25" s="26"/>
      <c r="H25" s="73"/>
      <c r="I25" s="73">
        <f>GETPIVOTDATA("Sum of 2016/17",'[4]ESC Mat &amp; Serv'!$A$3,"Stat of Inc &amp; Exp (Available Cash)","Materials and services","Strategic Objectives (KSAs)","SO2 - 03 - Waste Management and Recycling - Exp")</f>
        <v>876156.28</v>
      </c>
      <c r="J25" s="73"/>
      <c r="K25" s="73"/>
      <c r="L25" s="73"/>
      <c r="M25" s="73"/>
      <c r="N25" s="73"/>
      <c r="O25" s="73"/>
      <c r="P25" s="73"/>
      <c r="Q25" s="400"/>
      <c r="R25" s="425">
        <f t="shared" si="0"/>
        <v>876156.28</v>
      </c>
      <c r="S25" s="31"/>
    </row>
    <row r="26" spans="3:19" ht="12" customHeight="1" x14ac:dyDescent="0.2">
      <c r="C26" s="13"/>
      <c r="D26" s="19">
        <f>'Revenue - Base year'!D27</f>
        <v>16</v>
      </c>
      <c r="E26" s="67" t="str">
        <f>IF(OR('Services - Base year'!E25="",'Services - Base year'!E25="[Enter service]"),"",'Services - Base year'!E25)</f>
        <v>Tourist Parks and Boat Ramp Services</v>
      </c>
      <c r="F26" s="68" t="str">
        <f>IF(OR('Services - Base year'!F25="",'Services - Base year'!F25="[Select]"),"",'Services - Base year'!F25)</f>
        <v>External</v>
      </c>
      <c r="G26" s="26"/>
      <c r="H26" s="73">
        <f>GETPIVOTDATA("Sum of 2016/17",'[4]ESC Employees'!$A$3,"Stat of Inc &amp; Exp (Available Cash)","Employee costs","Strategic Objectives (KSAs)","SO3 - 01 - Tourist Parks and Boat Ramp Services - Exp")</f>
        <v>497459.06</v>
      </c>
      <c r="I26" s="73">
        <f>GETPIVOTDATA("Sum of 2016/17",'[4]ESC Mat &amp; Serv'!$A$3,"Stat of Inc &amp; Exp (Available Cash)","Materials and services","Strategic Objectives (KSAs)","SO3 - 01 - Tourist Parks and Boat Ramp Services - Exp")</f>
        <v>400650.31</v>
      </c>
      <c r="J26" s="73"/>
      <c r="K26" s="73"/>
      <c r="L26" s="73"/>
      <c r="M26" s="73"/>
      <c r="N26" s="73"/>
      <c r="O26" s="73"/>
      <c r="P26" s="73"/>
      <c r="Q26" s="400"/>
      <c r="R26" s="425">
        <f t="shared" si="0"/>
        <v>898109.37</v>
      </c>
      <c r="S26" s="31"/>
    </row>
    <row r="27" spans="3:19" ht="12" customHeight="1" x14ac:dyDescent="0.2">
      <c r="C27" s="13"/>
      <c r="D27" s="19">
        <f>'Revenue - Base year'!D28</f>
        <v>17</v>
      </c>
      <c r="E27" s="67" t="str">
        <f>IF(OR('Services - Base year'!E26="",'Services - Base year'!E26="[Enter service]"),"",'Services - Base year'!E26)</f>
        <v>Visitor Information Centre (VIC)</v>
      </c>
      <c r="F27" s="68" t="str">
        <f>IF(OR('Services - Base year'!F26="",'Services - Base year'!F26="[Select]"),"",'Services - Base year'!F26)</f>
        <v>External</v>
      </c>
      <c r="G27" s="26"/>
      <c r="H27" s="73">
        <f>GETPIVOTDATA("Sum of 2016/17",'[4]ESC Employees'!$A$3,"Stat of Inc &amp; Exp (Available Cash)","Employee costs","Strategic Objectives (KSAs)","SO3 - 02 - Visitor Information Centre (VIC) - Exp")</f>
        <v>168386.35</v>
      </c>
      <c r="I27" s="73">
        <f>GETPIVOTDATA("Sum of 2016/17",'[4]ESC Mat &amp; Serv'!$A$3,"Stat of Inc &amp; Exp (Available Cash)","Materials and services","Strategic Objectives (KSAs)","SO3 - 02 - Visitor Information Centre (VIC) - Exp")</f>
        <v>36994.910000000003</v>
      </c>
      <c r="J27" s="73"/>
      <c r="K27" s="73"/>
      <c r="L27" s="73"/>
      <c r="M27" s="73"/>
      <c r="N27" s="73"/>
      <c r="O27" s="73"/>
      <c r="P27" s="73"/>
      <c r="Q27" s="400"/>
      <c r="R27" s="425">
        <f t="shared" si="0"/>
        <v>205381.26</v>
      </c>
      <c r="S27" s="31"/>
    </row>
    <row r="28" spans="3:19" ht="12" customHeight="1" x14ac:dyDescent="0.2">
      <c r="C28" s="13"/>
      <c r="D28" s="19">
        <f>'Revenue - Base year'!D29</f>
        <v>18</v>
      </c>
      <c r="E28" s="67" t="str">
        <f>IF(OR('Services - Base year'!E27="",'Services - Base year'!E27="[Enter service]"),"",'Services - Base year'!E27)</f>
        <v>Tourism and Economic Development</v>
      </c>
      <c r="F28" s="68" t="str">
        <f>IF(OR('Services - Base year'!F27="",'Services - Base year'!F27="[Select]"),"",'Services - Base year'!F27)</f>
        <v>Mixed</v>
      </c>
      <c r="G28" s="26"/>
      <c r="H28" s="73">
        <f>GETPIVOTDATA("Sum of 2016/17",'[4]ESC Employees'!$A$3,"Stat of Inc &amp; Exp (Available Cash)","Employee costs","Strategic Objectives (KSAs)","SO3 - 03 - Tourism and Economic Development - Exp")</f>
        <v>79984.710000000006</v>
      </c>
      <c r="I28" s="73">
        <f>GETPIVOTDATA("Sum of 2016/17",'[4]ESC Mat &amp; Serv'!$A$3,"Stat of Inc &amp; Exp (Available Cash)","Materials and services","Strategic Objectives (KSAs)","SO3 - 03 - Tourism and Economic Development - Exp")</f>
        <v>207960.24000000002</v>
      </c>
      <c r="J28" s="73"/>
      <c r="K28" s="73"/>
      <c r="L28" s="73"/>
      <c r="M28" s="73"/>
      <c r="N28" s="73"/>
      <c r="O28" s="73"/>
      <c r="P28" s="73"/>
      <c r="Q28" s="400"/>
      <c r="R28" s="425">
        <f t="shared" si="0"/>
        <v>287944.95</v>
      </c>
      <c r="S28" s="31"/>
    </row>
    <row r="29" spans="3:19" ht="12" customHeight="1" x14ac:dyDescent="0.2">
      <c r="C29" s="13"/>
      <c r="D29" s="19">
        <f>'Revenue - Base year'!D30</f>
        <v>19</v>
      </c>
      <c r="E29" s="67" t="str">
        <f>IF(OR('Services - Base year'!E28="",'Services - Base year'!E28="[Enter service]"),"",'Services - Base year'!E28)</f>
        <v>Design and Project Management</v>
      </c>
      <c r="F29" s="68" t="str">
        <f>IF(OR('Services - Base year'!F28="",'Services - Base year'!F28="[Select]"),"",'Services - Base year'!F28)</f>
        <v>Mixed</v>
      </c>
      <c r="G29" s="26"/>
      <c r="H29" s="73">
        <f>GETPIVOTDATA("Sum of 2016/17",'[4]ESC Employees'!$A$3,"Stat of Inc &amp; Exp (Available Cash)","Employee costs","Strategic Objectives (KSAs)","SO4 - 01 - Design and Project Management - Exp")</f>
        <v>159589.65</v>
      </c>
      <c r="I29" s="73">
        <f>GETPIVOTDATA("Sum of 2016/17",'[4]ESC Mat &amp; Serv'!$A$3,"Stat of Inc &amp; Exp (Available Cash)","Materials and services","Strategic Objectives (KSAs)","SO4 - 01 - Design and Project Management - Exp")</f>
        <v>43700</v>
      </c>
      <c r="J29" s="73"/>
      <c r="K29" s="73"/>
      <c r="L29" s="73"/>
      <c r="M29" s="73"/>
      <c r="N29" s="73"/>
      <c r="O29" s="73"/>
      <c r="P29" s="73"/>
      <c r="Q29" s="400"/>
      <c r="R29" s="425">
        <f t="shared" si="0"/>
        <v>203289.65</v>
      </c>
      <c r="S29" s="31"/>
    </row>
    <row r="30" spans="3:19" ht="12" customHeight="1" x14ac:dyDescent="0.2">
      <c r="C30" s="13"/>
      <c r="D30" s="19">
        <f>'Revenue - Base year'!D31</f>
        <v>20</v>
      </c>
      <c r="E30" s="67" t="str">
        <f>IF(OR('Services - Base year'!E29="",'Services - Base year'!E29="[Enter service]"),"",'Services - Base year'!E29)</f>
        <v>Land Use Planning</v>
      </c>
      <c r="F30" s="68" t="str">
        <f>IF(OR('Services - Base year'!F29="",'Services - Base year'!F29="[Select]"),"",'Services - Base year'!F29)</f>
        <v>External</v>
      </c>
      <c r="G30" s="26"/>
      <c r="H30" s="73">
        <f>GETPIVOTDATA("Sum of 2016/17",'[4]ESC Employees'!$A$3,"Stat of Inc &amp; Exp (Available Cash)","Employee costs","Strategic Objectives (KSAs)","SO4 - 02 - Land Use Planning - Exp")</f>
        <v>181871.06</v>
      </c>
      <c r="I30" s="73">
        <f>GETPIVOTDATA("Sum of 2016/17",'[4]ESC Mat &amp; Serv'!$A$3,"Stat of Inc &amp; Exp (Available Cash)","Materials and services","Strategic Objectives (KSAs)","SO4 - 02 - Land Use Planning - Exp")</f>
        <v>46733.250000000007</v>
      </c>
      <c r="J30" s="73"/>
      <c r="K30" s="73"/>
      <c r="L30" s="73"/>
      <c r="M30" s="73"/>
      <c r="N30" s="73">
        <f>GETPIVOTDATA("Sum of 2016/17",'[4]ESC Other Exp'!$A$3,"Stat of Inc &amp; Exp (Available Cash)","Other expenses","Strategic Objectives (KSAs)","SO4 - 02 - Land Use Planning - Exp")</f>
        <v>500</v>
      </c>
      <c r="O30" s="73"/>
      <c r="P30" s="73"/>
      <c r="Q30" s="400"/>
      <c r="R30" s="425">
        <f t="shared" si="0"/>
        <v>229104.31</v>
      </c>
      <c r="S30" s="31"/>
    </row>
    <row r="31" spans="3:19" ht="12" customHeight="1" x14ac:dyDescent="0.2">
      <c r="C31" s="13"/>
      <c r="D31" s="19">
        <f>'Revenue - Base year'!D32</f>
        <v>21</v>
      </c>
      <c r="E31" s="67" t="str">
        <f>IF(OR('Services - Base year'!E30="",'Services - Base year'!E30="[Enter service]"),"",'Services - Base year'!E30)</f>
        <v>Heritage Conservation Advice</v>
      </c>
      <c r="F31" s="68" t="str">
        <f>IF(OR('Services - Base year'!F30="",'Services - Base year'!F30="[Select]"),"",'Services - Base year'!F30)</f>
        <v>External</v>
      </c>
      <c r="G31" s="26"/>
      <c r="H31" s="73"/>
      <c r="I31" s="73">
        <f>GETPIVOTDATA("Sum of 2016/17",'[4]ESC Mat &amp; Serv'!$A$3,"Stat of Inc &amp; Exp (Available Cash)","Materials and services","Strategic Objectives (KSAs)","SO4 - 03 - Heritage Conservation Advice - Exp")</f>
        <v>39000</v>
      </c>
      <c r="J31" s="73"/>
      <c r="K31" s="73"/>
      <c r="L31" s="73"/>
      <c r="M31" s="73"/>
      <c r="N31" s="73"/>
      <c r="O31" s="73"/>
      <c r="P31" s="73"/>
      <c r="Q31" s="400"/>
      <c r="R31" s="425">
        <f t="shared" si="0"/>
        <v>39000</v>
      </c>
      <c r="S31" s="31"/>
    </row>
    <row r="32" spans="3:19" ht="12" customHeight="1" x14ac:dyDescent="0.2">
      <c r="C32" s="13"/>
      <c r="D32" s="19">
        <f>'Revenue - Base year'!D33</f>
        <v>22</v>
      </c>
      <c r="E32" s="67" t="str">
        <f>IF(OR('Services - Base year'!E31="",'Services - Base year'!E31="[Enter service]"),"",'Services - Base year'!E31)</f>
        <v>Building Control</v>
      </c>
      <c r="F32" s="68" t="str">
        <f>IF(OR('Services - Base year'!F31="",'Services - Base year'!F31="[Select]"),"",'Services - Base year'!F31)</f>
        <v>External</v>
      </c>
      <c r="G32" s="26"/>
      <c r="H32" s="73"/>
      <c r="I32" s="73">
        <f>GETPIVOTDATA("Sum of 2016/17",'[4]ESC Mat &amp; Serv'!$A$3,"Stat of Inc &amp; Exp (Available Cash)","Materials and services","Strategic Objectives (KSAs)","SO4 - 04 - Building Control - Exp")</f>
        <v>57200</v>
      </c>
      <c r="J32" s="73"/>
      <c r="K32" s="73"/>
      <c r="L32" s="73"/>
      <c r="M32" s="73"/>
      <c r="N32" s="73"/>
      <c r="O32" s="73"/>
      <c r="P32" s="73"/>
      <c r="Q32" s="400"/>
      <c r="R32" s="425">
        <f t="shared" si="0"/>
        <v>57200</v>
      </c>
      <c r="S32" s="31"/>
    </row>
    <row r="33" spans="3:19" ht="12" customHeight="1" x14ac:dyDescent="0.2">
      <c r="C33" s="13"/>
      <c r="D33" s="19">
        <f>'Revenue - Base year'!D34</f>
        <v>23</v>
      </c>
      <c r="E33" s="67" t="str">
        <f>IF(OR('Services - Base year'!E32="",'Services - Base year'!E32="[Enter service]"),"",'Services - Base year'!E32)</f>
        <v>Council Governance</v>
      </c>
      <c r="F33" s="68" t="str">
        <f>IF(OR('Services - Base year'!F32="",'Services - Base year'!F32="[Select]"),"",'Services - Base year'!F32)</f>
        <v>Mixed</v>
      </c>
      <c r="G33" s="26"/>
      <c r="H33" s="73">
        <f>GETPIVOTDATA("Sum of 2016/17",'[4]ESC Employees'!$A$3,"Stat of Inc &amp; Exp (Available Cash)","Employee costs","Strategic Objectives (KSAs)","SO5 - 01 - Council Governance - Exp")</f>
        <v>2494.8200000000002</v>
      </c>
      <c r="I33" s="73">
        <f>GETPIVOTDATA("Sum of 2016/17",'[4]ESC Mat &amp; Serv'!$A$3,"Stat of Inc &amp; Exp (Available Cash)","Materials and services","Strategic Objectives (KSAs)","SO5 - 01 - Council Governance - Exp")</f>
        <v>222441.4509090909</v>
      </c>
      <c r="J33" s="73"/>
      <c r="K33" s="73"/>
      <c r="L33" s="73"/>
      <c r="M33" s="73"/>
      <c r="N33" s="73">
        <f>GETPIVOTDATA("Sum of 2016/17",'[4]ESC Other Exp'!$A$3,"Stat of Inc &amp; Exp (Available Cash)","Other expenses","Strategic Objectives (KSAs)","SO5 - 01 - Council Governance - Exp")</f>
        <v>131402.56</v>
      </c>
      <c r="O33" s="73"/>
      <c r="P33" s="73"/>
      <c r="Q33" s="400"/>
      <c r="R33" s="425">
        <f t="shared" si="0"/>
        <v>356338.83090909093</v>
      </c>
      <c r="S33" s="31"/>
    </row>
    <row r="34" spans="3:19" ht="12" customHeight="1" x14ac:dyDescent="0.2">
      <c r="C34" s="13"/>
      <c r="D34" s="19">
        <f>'Revenue - Base year'!D35</f>
        <v>24</v>
      </c>
      <c r="E34" s="67" t="str">
        <f>IF(OR('Services - Base year'!E33="",'Services - Base year'!E33="[Enter service]"),"",'Services - Base year'!E33)</f>
        <v>Organisation Performance and Compliance</v>
      </c>
      <c r="F34" s="68" t="str">
        <f>IF(OR('Services - Base year'!F33="",'Services - Base year'!F33="[Select]"),"",'Services - Base year'!F33)</f>
        <v>Internal</v>
      </c>
      <c r="G34" s="26"/>
      <c r="H34" s="73">
        <f>GETPIVOTDATA("Sum of 2016/17",'[4]ESC Employees'!$A$3,"Stat of Inc &amp; Exp (Available Cash)","Employee costs","Strategic Objectives (KSAs)","SO5 - 02 - Organisational Performance and Compliance - Exp")</f>
        <v>790352.23</v>
      </c>
      <c r="I34" s="73">
        <f>GETPIVOTDATA("Sum of 2016/17",'[4]ESC Mat &amp; Serv'!$A$3,"Stat of Inc &amp; Exp (Available Cash)","Materials and services","Strategic Objectives (KSAs)","SO5 - 02 - Organisational Performance and Compliance - Exp")</f>
        <v>333114.20999999996</v>
      </c>
      <c r="J34" s="73"/>
      <c r="K34" s="73"/>
      <c r="L34" s="73"/>
      <c r="M34" s="73"/>
      <c r="N34" s="73">
        <f>GETPIVOTDATA("Sum of 2016/17",'[4]ESC Other Exp'!$A$3,"Stat of Inc &amp; Exp (Available Cash)","Other expenses","Strategic Objectives (KSAs)","SO5 - 02 - Organisational Performance and Compliance - Exp")</f>
        <v>31119.61</v>
      </c>
      <c r="O34" s="73"/>
      <c r="P34" s="73"/>
      <c r="Q34" s="400"/>
      <c r="R34" s="425">
        <f t="shared" si="0"/>
        <v>1154586.05</v>
      </c>
      <c r="S34" s="31"/>
    </row>
    <row r="35" spans="3:19" ht="12" customHeight="1" x14ac:dyDescent="0.2">
      <c r="C35" s="13"/>
      <c r="D35" s="19">
        <f>'Revenue - Base year'!D36</f>
        <v>25</v>
      </c>
      <c r="E35" s="67" t="str">
        <f>IF(OR('Services - Base year'!E34="",'Services - Base year'!E34="[Enter service]"),"",'Services - Base year'!E34)</f>
        <v>Community Engagement and Customer Service</v>
      </c>
      <c r="F35" s="68" t="str">
        <f>IF(OR('Services - Base year'!F34="",'Services - Base year'!F34="[Select]"),"",'Services - Base year'!F34)</f>
        <v>Mixed</v>
      </c>
      <c r="G35" s="26"/>
      <c r="H35" s="73">
        <f>GETPIVOTDATA("Sum of 2016/17",'[4]ESC Employees'!$A$3,"Stat of Inc &amp; Exp (Available Cash)","Employee costs","Strategic Objectives (KSAs)","SO5 - 03 - Community Engagement and Customer Service - Exp")</f>
        <v>396076.47000000003</v>
      </c>
      <c r="I35" s="73">
        <f>GETPIVOTDATA("Sum of 2016/17",'[4]ESC Mat &amp; Serv'!$A$3,"Stat of Inc &amp; Exp (Available Cash)","Materials and services","Strategic Objectives (KSAs)","SO5 - 03 - Community Engagement and Customer Service - Exp")</f>
        <v>95252.72</v>
      </c>
      <c r="J35" s="73"/>
      <c r="K35" s="73"/>
      <c r="L35" s="73"/>
      <c r="M35" s="73"/>
      <c r="N35" s="73"/>
      <c r="O35" s="73"/>
      <c r="P35" s="73"/>
      <c r="Q35" s="400"/>
      <c r="R35" s="425">
        <f t="shared" si="0"/>
        <v>491329.19000000006</v>
      </c>
      <c r="S35" s="31"/>
    </row>
    <row r="36" spans="3:19" ht="12" customHeight="1" x14ac:dyDescent="0.2">
      <c r="C36" s="13"/>
      <c r="D36" s="19">
        <f>'Revenue - Base year'!D37</f>
        <v>26</v>
      </c>
      <c r="E36" s="67" t="str">
        <f>IF(OR('Services - Base year'!E35="",'Services - Base year'!E35="[Enter service]"),"",'Services - Base year'!E35)</f>
        <v>Financial and Risk Management</v>
      </c>
      <c r="F36" s="68" t="str">
        <f>IF(OR('Services - Base year'!F35="",'Services - Base year'!F35="[Select]"),"",'Services - Base year'!F35)</f>
        <v>Internal</v>
      </c>
      <c r="G36" s="26"/>
      <c r="H36" s="73">
        <f>GETPIVOTDATA("Sum of 2016/17",'[4]ESC Employees'!$A$3,"Stat of Inc &amp; Exp (Available Cash)","Employee costs","Strategic Objectives (KSAs)","SO5 - 04 - Financial and Risk Management - Exp")</f>
        <v>407532</v>
      </c>
      <c r="I36" s="73">
        <f>GETPIVOTDATA("Sum of 2016/17",'[4]ESC Mat &amp; Serv'!$A$3,"Stat of Inc &amp; Exp (Available Cash)","Materials and services","Strategic Objectives (KSAs)","SO5 - 04 - Financial and Risk Management - Exp")</f>
        <v>481070.99999999994</v>
      </c>
      <c r="J36" s="73">
        <f>GETPIVOTDATA("Sum of 2016/17",'[4]ESC B&amp;DD'!$A$3,"Stat of Inc &amp; Exp (Available Cash)","Bad and doubtful debts","Strategic Objectives (KSAs)","SO5 - 04 - Financial and Risk Management - Exp")</f>
        <v>3000</v>
      </c>
      <c r="K36" s="73">
        <f>GETPIVOTDATA("Sum of 2016/17",'[4]ESC Depn'!$A$3,"Comprehensive Income Statement","Depreciation","Strategic Objectives (KSAs)","SO5 - 04 - Financial and Risk Management - Exp")</f>
        <v>1121233.8436</v>
      </c>
      <c r="L36" s="73"/>
      <c r="M36" s="73">
        <f>GETPIVOTDATA("Sum of 2016/17",'[4]ESC Int Exp'!$A$3,"Stat of Inc &amp; Exp (Available Cash)","Borrowing costs","Strategic Objectives (KSAs)","SO5 - 04 - Financial and Risk Management - Exp")</f>
        <v>10424.030000000001</v>
      </c>
      <c r="N36" s="73">
        <f>GETPIVOTDATA("Sum of 2016/17",'[4]ESC Other Exp'!$A$3,"Stat of Inc &amp; Exp (Available Cash)","Other expenses","Strategic Objectives (KSAs)","SO5 - 04 - Financial and Risk Management - Exp")</f>
        <v>64000</v>
      </c>
      <c r="O36" s="73"/>
      <c r="P36" s="73"/>
      <c r="Q36" s="400"/>
      <c r="R36" s="425">
        <f t="shared" si="0"/>
        <v>2087260.8736</v>
      </c>
      <c r="S36" s="31"/>
    </row>
    <row r="37" spans="3:19" ht="12" customHeight="1" x14ac:dyDescent="0.2">
      <c r="C37" s="13"/>
      <c r="D37" s="19">
        <f>'Revenue - Base year'!D38</f>
        <v>27</v>
      </c>
      <c r="E37" s="67" t="str">
        <f>IF(OR('Services - Base year'!E36="",'Services - Base year'!E36="[Enter service]"),"",'Services - Base year'!E36)</f>
        <v/>
      </c>
      <c r="F37" s="68" t="str">
        <f>IF(OR('Services - Base year'!F36="",'Services - Base year'!F36="[Select]"),"",'Services - Base year'!F36)</f>
        <v/>
      </c>
      <c r="G37" s="26"/>
      <c r="H37" s="73"/>
      <c r="I37" s="73"/>
      <c r="J37" s="73"/>
      <c r="K37" s="73"/>
      <c r="L37" s="73"/>
      <c r="M37" s="73"/>
      <c r="N37" s="73"/>
      <c r="O37" s="73"/>
      <c r="P37" s="73"/>
      <c r="Q37" s="400"/>
      <c r="R37" s="425">
        <f t="shared" si="0"/>
        <v>0</v>
      </c>
      <c r="S37" s="31"/>
    </row>
    <row r="38" spans="3:19" ht="12" customHeight="1" x14ac:dyDescent="0.2">
      <c r="C38" s="13"/>
      <c r="D38" s="19">
        <f>'Revenue - Base year'!D39</f>
        <v>28</v>
      </c>
      <c r="E38" s="67" t="str">
        <f>IF(OR('Services - Base year'!E37="",'Services - Base year'!E37="[Enter service]"),"",'Services - Base year'!E37)</f>
        <v>Capital Works Program</v>
      </c>
      <c r="F38" s="68" t="str">
        <f>IF(OR('Services - Base year'!F37="",'Services - Base year'!F37="[Select]"),"",'Services - Base year'!F37)</f>
        <v>External</v>
      </c>
      <c r="G38" s="26"/>
      <c r="H38" s="73"/>
      <c r="I38" s="73"/>
      <c r="J38" s="73"/>
      <c r="K38" s="73"/>
      <c r="L38" s="73"/>
      <c r="M38" s="73"/>
      <c r="N38" s="73"/>
      <c r="O38" s="73"/>
      <c r="P38" s="73"/>
      <c r="Q38" s="400"/>
      <c r="R38" s="425">
        <f t="shared" si="0"/>
        <v>0</v>
      </c>
      <c r="S38" s="31"/>
    </row>
    <row r="39" spans="3:19" ht="12" customHeight="1" x14ac:dyDescent="0.2">
      <c r="C39" s="13"/>
      <c r="D39" s="19">
        <f>'Revenue - Base year'!D40</f>
        <v>29</v>
      </c>
      <c r="E39" s="67" t="str">
        <f>IF(OR('Services - Base year'!E38="",'Services - Base year'!E38="[Enter service]"),"",'Services - Base year'!E38)</f>
        <v/>
      </c>
      <c r="F39" s="68" t="str">
        <f>IF(OR('Services - Base year'!F38="",'Services - Base year'!F38="[Select]"),"",'Services - Base year'!F38)</f>
        <v/>
      </c>
      <c r="G39" s="26"/>
      <c r="H39" s="73"/>
      <c r="I39" s="73"/>
      <c r="J39" s="73"/>
      <c r="K39" s="73"/>
      <c r="L39" s="73"/>
      <c r="M39" s="73"/>
      <c r="N39" s="73"/>
      <c r="O39" s="73"/>
      <c r="P39" s="73"/>
      <c r="Q39" s="400"/>
      <c r="R39" s="425">
        <f t="shared" si="0"/>
        <v>0</v>
      </c>
      <c r="S39" s="31"/>
    </row>
    <row r="40" spans="3:19" ht="12" customHeight="1" x14ac:dyDescent="0.2">
      <c r="C40" s="13"/>
      <c r="D40" s="19">
        <f>'Revenue - Base year'!D41</f>
        <v>30</v>
      </c>
      <c r="E40" s="67" t="str">
        <f>IF(OR('Services - Base year'!E39="",'Services - Base year'!E39="[Enter service]"),"",'Services - Base year'!E39)</f>
        <v/>
      </c>
      <c r="F40" s="68" t="str">
        <f>IF(OR('Services - Base year'!F39="",'Services - Base year'!F39="[Select]"),"",'Services - Base year'!F39)</f>
        <v/>
      </c>
      <c r="G40" s="26"/>
      <c r="H40" s="73"/>
      <c r="I40" s="73"/>
      <c r="J40" s="73"/>
      <c r="K40" s="73"/>
      <c r="L40" s="73"/>
      <c r="M40" s="73"/>
      <c r="N40" s="73"/>
      <c r="O40" s="73"/>
      <c r="P40" s="73"/>
      <c r="Q40" s="400"/>
      <c r="R40" s="425">
        <f t="shared" si="0"/>
        <v>0</v>
      </c>
      <c r="S40" s="31"/>
    </row>
    <row r="41" spans="3:19" ht="12" customHeight="1" x14ac:dyDescent="0.2">
      <c r="C41" s="13"/>
      <c r="D41" s="19">
        <f>'Revenue - Base year'!D42</f>
        <v>31</v>
      </c>
      <c r="E41" s="67" t="str">
        <f>IF(OR('Services - Base year'!E40="",'Services - Base year'!E40="[Enter service]"),"",'Services - Base year'!E40)</f>
        <v/>
      </c>
      <c r="F41" s="68" t="str">
        <f>IF(OR('Services - Base year'!F40="",'Services - Base year'!F40="[Select]"),"",'Services - Base year'!F40)</f>
        <v/>
      </c>
      <c r="G41" s="26"/>
      <c r="H41" s="73"/>
      <c r="I41" s="73"/>
      <c r="J41" s="73"/>
      <c r="K41" s="73"/>
      <c r="L41" s="73"/>
      <c r="M41" s="73"/>
      <c r="N41" s="73"/>
      <c r="O41" s="73"/>
      <c r="P41" s="73"/>
      <c r="Q41" s="400"/>
      <c r="R41" s="425">
        <f t="shared" si="0"/>
        <v>0</v>
      </c>
      <c r="S41" s="31"/>
    </row>
    <row r="42" spans="3:19" ht="12" customHeight="1" x14ac:dyDescent="0.2">
      <c r="C42" s="13"/>
      <c r="D42" s="19">
        <f>'Revenue - Base year'!D43</f>
        <v>32</v>
      </c>
      <c r="E42" s="67" t="str">
        <f>IF(OR('Services - Base year'!E41="",'Services - Base year'!E41="[Enter service]"),"",'Services - Base year'!E41)</f>
        <v/>
      </c>
      <c r="F42" s="68" t="str">
        <f>IF(OR('Services - Base year'!F41="",'Services - Base year'!F41="[Select]"),"",'Services - Base year'!F41)</f>
        <v/>
      </c>
      <c r="G42" s="26"/>
      <c r="H42" s="73"/>
      <c r="I42" s="73"/>
      <c r="J42" s="73"/>
      <c r="K42" s="73"/>
      <c r="L42" s="73"/>
      <c r="M42" s="73"/>
      <c r="N42" s="73"/>
      <c r="O42" s="73"/>
      <c r="P42" s="73"/>
      <c r="Q42" s="400"/>
      <c r="R42" s="425">
        <f t="shared" si="0"/>
        <v>0</v>
      </c>
      <c r="S42" s="31"/>
    </row>
    <row r="43" spans="3:19" ht="12" customHeight="1" x14ac:dyDescent="0.2">
      <c r="C43" s="13"/>
      <c r="D43" s="19">
        <f>'Revenue - Base year'!D44</f>
        <v>33</v>
      </c>
      <c r="E43" s="67" t="str">
        <f>IF(OR('Services - Base year'!E42="",'Services - Base year'!E42="[Enter service]"),"",'Services - Base year'!E42)</f>
        <v/>
      </c>
      <c r="F43" s="68" t="str">
        <f>IF(OR('Services - Base year'!F42="",'Services - Base year'!F42="[Select]"),"",'Services - Base year'!F42)</f>
        <v/>
      </c>
      <c r="G43" s="26"/>
      <c r="H43" s="73"/>
      <c r="I43" s="73"/>
      <c r="J43" s="73"/>
      <c r="K43" s="73"/>
      <c r="L43" s="73"/>
      <c r="M43" s="73"/>
      <c r="N43" s="73"/>
      <c r="O43" s="73"/>
      <c r="P43" s="73"/>
      <c r="Q43" s="400"/>
      <c r="R43" s="425">
        <f t="shared" si="0"/>
        <v>0</v>
      </c>
      <c r="S43" s="31"/>
    </row>
    <row r="44" spans="3:19" ht="12" customHeight="1" x14ac:dyDescent="0.2">
      <c r="C44" s="13"/>
      <c r="D44" s="19">
        <f>'Revenue - Base year'!D45</f>
        <v>34</v>
      </c>
      <c r="E44" s="67" t="str">
        <f>IF(OR('Services - Base year'!E43="",'Services - Base year'!E43="[Enter service]"),"",'Services - Base year'!E43)</f>
        <v/>
      </c>
      <c r="F44" s="68" t="str">
        <f>IF(OR('Services - Base year'!F43="",'Services - Base year'!F43="[Select]"),"",'Services - Base year'!F43)</f>
        <v/>
      </c>
      <c r="G44" s="26"/>
      <c r="H44" s="73"/>
      <c r="I44" s="73"/>
      <c r="J44" s="73"/>
      <c r="K44" s="73"/>
      <c r="L44" s="73"/>
      <c r="M44" s="73"/>
      <c r="N44" s="73"/>
      <c r="O44" s="73"/>
      <c r="P44" s="73"/>
      <c r="Q44" s="400"/>
      <c r="R44" s="425">
        <f t="shared" si="0"/>
        <v>0</v>
      </c>
      <c r="S44" s="31"/>
    </row>
    <row r="45" spans="3:19" ht="12" customHeight="1" x14ac:dyDescent="0.2">
      <c r="C45" s="13"/>
      <c r="D45" s="19">
        <f>'Revenue - Base year'!D46</f>
        <v>35</v>
      </c>
      <c r="E45" s="67" t="str">
        <f>IF(OR('Services - Base year'!E44="",'Services - Base year'!E44="[Enter service]"),"",'Services - Base year'!E44)</f>
        <v/>
      </c>
      <c r="F45" s="68" t="str">
        <f>IF(OR('Services - Base year'!F44="",'Services - Base year'!F44="[Select]"),"",'Services - Base year'!F44)</f>
        <v/>
      </c>
      <c r="G45" s="26"/>
      <c r="H45" s="73"/>
      <c r="I45" s="73"/>
      <c r="J45" s="73"/>
      <c r="K45" s="73"/>
      <c r="L45" s="73"/>
      <c r="M45" s="73"/>
      <c r="N45" s="73"/>
      <c r="O45" s="73"/>
      <c r="P45" s="73"/>
      <c r="Q45" s="400"/>
      <c r="R45" s="425">
        <f t="shared" si="0"/>
        <v>0</v>
      </c>
      <c r="S45" s="31"/>
    </row>
    <row r="46" spans="3:19" ht="12" customHeight="1" x14ac:dyDescent="0.2">
      <c r="C46" s="13"/>
      <c r="D46" s="19">
        <f>'Revenue - Base year'!D47</f>
        <v>36</v>
      </c>
      <c r="E46" s="67" t="str">
        <f>IF(OR('Services - Base year'!E45="",'Services - Base year'!E45="[Enter service]"),"",'Services - Base year'!E45)</f>
        <v/>
      </c>
      <c r="F46" s="68" t="str">
        <f>IF(OR('Services - Base year'!F45="",'Services - Base year'!F45="[Select]"),"",'Services - Base year'!F45)</f>
        <v/>
      </c>
      <c r="G46" s="26"/>
      <c r="H46" s="73"/>
      <c r="I46" s="73"/>
      <c r="J46" s="73"/>
      <c r="K46" s="73"/>
      <c r="L46" s="73"/>
      <c r="M46" s="73"/>
      <c r="N46" s="73"/>
      <c r="O46" s="73"/>
      <c r="P46" s="73"/>
      <c r="Q46" s="400"/>
      <c r="R46" s="425">
        <f t="shared" si="0"/>
        <v>0</v>
      </c>
      <c r="S46" s="31"/>
    </row>
    <row r="47" spans="3:19" ht="12" customHeight="1" x14ac:dyDescent="0.2">
      <c r="C47" s="13"/>
      <c r="D47" s="19">
        <f>'Revenue - Base year'!D48</f>
        <v>37</v>
      </c>
      <c r="E47" s="67" t="str">
        <f>IF(OR('Services - Base year'!E46="",'Services - Base year'!E46="[Enter service]"),"",'Services - Base year'!E46)</f>
        <v/>
      </c>
      <c r="F47" s="68" t="str">
        <f>IF(OR('Services - Base year'!F46="",'Services - Base year'!F46="[Select]"),"",'Services - Base year'!F46)</f>
        <v/>
      </c>
      <c r="G47" s="26"/>
      <c r="H47" s="73"/>
      <c r="I47" s="73"/>
      <c r="J47" s="73"/>
      <c r="K47" s="73"/>
      <c r="L47" s="73"/>
      <c r="M47" s="73"/>
      <c r="N47" s="73"/>
      <c r="O47" s="73"/>
      <c r="P47" s="73"/>
      <c r="Q47" s="400"/>
      <c r="R47" s="425">
        <f t="shared" si="0"/>
        <v>0</v>
      </c>
      <c r="S47" s="31"/>
    </row>
    <row r="48" spans="3:19" ht="12" customHeight="1" x14ac:dyDescent="0.2">
      <c r="C48" s="13"/>
      <c r="D48" s="19">
        <f>'Revenue - Base year'!D49</f>
        <v>38</v>
      </c>
      <c r="E48" s="67" t="str">
        <f>IF(OR('Services - Base year'!E47="",'Services - Base year'!E47="[Enter service]"),"",'Services - Base year'!E47)</f>
        <v/>
      </c>
      <c r="F48" s="68" t="str">
        <f>IF(OR('Services - Base year'!F47="",'Services - Base year'!F47="[Select]"),"",'Services - Base year'!F47)</f>
        <v/>
      </c>
      <c r="G48" s="26"/>
      <c r="H48" s="73"/>
      <c r="I48" s="73"/>
      <c r="J48" s="73"/>
      <c r="K48" s="73"/>
      <c r="L48" s="73"/>
      <c r="M48" s="73"/>
      <c r="N48" s="73"/>
      <c r="O48" s="73"/>
      <c r="P48" s="73"/>
      <c r="Q48" s="400"/>
      <c r="R48" s="425">
        <f t="shared" si="0"/>
        <v>0</v>
      </c>
      <c r="S48" s="31"/>
    </row>
    <row r="49" spans="3:19" ht="12" customHeight="1" x14ac:dyDescent="0.2">
      <c r="C49" s="13"/>
      <c r="D49" s="19">
        <f>'Revenue - Base year'!D50</f>
        <v>39</v>
      </c>
      <c r="E49" s="67" t="str">
        <f>IF(OR('Services - Base year'!E48="",'Services - Base year'!E48="[Enter service]"),"",'Services - Base year'!E48)</f>
        <v/>
      </c>
      <c r="F49" s="68" t="str">
        <f>IF(OR('Services - Base year'!F48="",'Services - Base year'!F48="[Select]"),"",'Services - Base year'!F48)</f>
        <v/>
      </c>
      <c r="G49" s="26"/>
      <c r="H49" s="73"/>
      <c r="I49" s="73"/>
      <c r="J49" s="73"/>
      <c r="K49" s="73"/>
      <c r="L49" s="73"/>
      <c r="M49" s="73"/>
      <c r="N49" s="73"/>
      <c r="O49" s="73"/>
      <c r="P49" s="73"/>
      <c r="Q49" s="400"/>
      <c r="R49" s="425">
        <f t="shared" si="0"/>
        <v>0</v>
      </c>
      <c r="S49" s="31"/>
    </row>
    <row r="50" spans="3:19" ht="12" customHeight="1" x14ac:dyDescent="0.2">
      <c r="C50" s="13"/>
      <c r="D50" s="19">
        <f>'Revenue - Base year'!D51</f>
        <v>40</v>
      </c>
      <c r="E50" s="67" t="str">
        <f>IF(OR('Services - Base year'!E49="",'Services - Base year'!E49="[Enter service]"),"",'Services - Base year'!E49)</f>
        <v/>
      </c>
      <c r="F50" s="68" t="str">
        <f>IF(OR('Services - Base year'!F49="",'Services - Base year'!F49="[Select]"),"",'Services - Base year'!F49)</f>
        <v/>
      </c>
      <c r="G50" s="26"/>
      <c r="H50" s="73"/>
      <c r="I50" s="73"/>
      <c r="J50" s="73"/>
      <c r="K50" s="73"/>
      <c r="L50" s="73"/>
      <c r="M50" s="73"/>
      <c r="N50" s="73"/>
      <c r="O50" s="73"/>
      <c r="P50" s="73"/>
      <c r="Q50" s="400"/>
      <c r="R50" s="425">
        <f t="shared" si="0"/>
        <v>0</v>
      </c>
      <c r="S50" s="31"/>
    </row>
    <row r="51" spans="3:19" ht="12" customHeight="1" x14ac:dyDescent="0.2">
      <c r="C51" s="13"/>
      <c r="D51" s="19">
        <f>'Revenue - Base year'!D52</f>
        <v>41</v>
      </c>
      <c r="E51" s="67" t="str">
        <f>IF(OR('Services - Base year'!E50="",'Services - Base year'!E50="[Enter service]"),"",'Services - Base year'!E50)</f>
        <v/>
      </c>
      <c r="F51" s="68" t="str">
        <f>IF(OR('Services - Base year'!F50="",'Services - Base year'!F50="[Select]"),"",'Services - Base year'!F50)</f>
        <v/>
      </c>
      <c r="G51" s="26"/>
      <c r="H51" s="73"/>
      <c r="I51" s="73"/>
      <c r="J51" s="73"/>
      <c r="K51" s="73"/>
      <c r="L51" s="73"/>
      <c r="M51" s="73"/>
      <c r="N51" s="73"/>
      <c r="O51" s="73"/>
      <c r="P51" s="73"/>
      <c r="Q51" s="400"/>
      <c r="R51" s="425">
        <f t="shared" si="0"/>
        <v>0</v>
      </c>
      <c r="S51" s="31"/>
    </row>
    <row r="52" spans="3:19" ht="12" customHeight="1" x14ac:dyDescent="0.2">
      <c r="C52" s="13"/>
      <c r="D52" s="19">
        <f>'Revenue - Base year'!D53</f>
        <v>42</v>
      </c>
      <c r="E52" s="67" t="str">
        <f>IF(OR('Services - Base year'!E51="",'Services - Base year'!E51="[Enter service]"),"",'Services - Base year'!E51)</f>
        <v/>
      </c>
      <c r="F52" s="68" t="str">
        <f>IF(OR('Services - Base year'!F51="",'Services - Base year'!F51="[Select]"),"",'Services - Base year'!F51)</f>
        <v/>
      </c>
      <c r="G52" s="26"/>
      <c r="H52" s="73"/>
      <c r="I52" s="73"/>
      <c r="J52" s="73"/>
      <c r="K52" s="73"/>
      <c r="L52" s="73"/>
      <c r="M52" s="73"/>
      <c r="N52" s="73"/>
      <c r="O52" s="73"/>
      <c r="P52" s="73"/>
      <c r="Q52" s="400"/>
      <c r="R52" s="425">
        <f t="shared" si="0"/>
        <v>0</v>
      </c>
      <c r="S52" s="31"/>
    </row>
    <row r="53" spans="3:19" ht="12" customHeight="1" x14ac:dyDescent="0.2">
      <c r="C53" s="13"/>
      <c r="D53" s="19">
        <f>'Revenue - Base year'!D54</f>
        <v>43</v>
      </c>
      <c r="E53" s="67" t="str">
        <f>IF(OR('Services - Base year'!E52="",'Services - Base year'!E52="[Enter service]"),"",'Services - Base year'!E52)</f>
        <v/>
      </c>
      <c r="F53" s="68" t="str">
        <f>IF(OR('Services - Base year'!F52="",'Services - Base year'!F52="[Select]"),"",'Services - Base year'!F52)</f>
        <v/>
      </c>
      <c r="G53" s="26"/>
      <c r="H53" s="73"/>
      <c r="I53" s="73"/>
      <c r="J53" s="73"/>
      <c r="K53" s="73"/>
      <c r="L53" s="73"/>
      <c r="M53" s="73"/>
      <c r="N53" s="73"/>
      <c r="O53" s="73"/>
      <c r="P53" s="73"/>
      <c r="Q53" s="400"/>
      <c r="R53" s="425">
        <f t="shared" si="0"/>
        <v>0</v>
      </c>
      <c r="S53" s="31"/>
    </row>
    <row r="54" spans="3:19" ht="12" customHeight="1" x14ac:dyDescent="0.2">
      <c r="C54" s="13"/>
      <c r="D54" s="19">
        <f>'Revenue - Base year'!D55</f>
        <v>44</v>
      </c>
      <c r="E54" s="67" t="str">
        <f>IF(OR('Services - Base year'!E53="",'Services - Base year'!E53="[Enter service]"),"",'Services - Base year'!E53)</f>
        <v/>
      </c>
      <c r="F54" s="68" t="str">
        <f>IF(OR('Services - Base year'!F53="",'Services - Base year'!F53="[Select]"),"",'Services - Base year'!F53)</f>
        <v/>
      </c>
      <c r="G54" s="26"/>
      <c r="H54" s="73"/>
      <c r="I54" s="73"/>
      <c r="J54" s="73"/>
      <c r="K54" s="73"/>
      <c r="L54" s="73"/>
      <c r="M54" s="73"/>
      <c r="N54" s="73"/>
      <c r="O54" s="73"/>
      <c r="P54" s="73"/>
      <c r="Q54" s="400"/>
      <c r="R54" s="425">
        <f t="shared" si="0"/>
        <v>0</v>
      </c>
      <c r="S54" s="31"/>
    </row>
    <row r="55" spans="3:19" ht="12" customHeight="1" x14ac:dyDescent="0.2">
      <c r="C55" s="13"/>
      <c r="D55" s="19">
        <f>'Revenue - Base year'!D56</f>
        <v>45</v>
      </c>
      <c r="E55" s="67" t="str">
        <f>IF(OR('Services - Base year'!E54="",'Services - Base year'!E54="[Enter service]"),"",'Services - Base year'!E54)</f>
        <v/>
      </c>
      <c r="F55" s="68" t="str">
        <f>IF(OR('Services - Base year'!F54="",'Services - Base year'!F54="[Select]"),"",'Services - Base year'!F54)</f>
        <v/>
      </c>
      <c r="G55" s="26"/>
      <c r="H55" s="73"/>
      <c r="I55" s="73"/>
      <c r="J55" s="73"/>
      <c r="K55" s="73"/>
      <c r="L55" s="73"/>
      <c r="M55" s="73"/>
      <c r="N55" s="73"/>
      <c r="O55" s="73"/>
      <c r="P55" s="73"/>
      <c r="Q55" s="400"/>
      <c r="R55" s="425">
        <f t="shared" si="0"/>
        <v>0</v>
      </c>
      <c r="S55" s="31"/>
    </row>
    <row r="56" spans="3:19" ht="12" customHeight="1" x14ac:dyDescent="0.2">
      <c r="C56" s="13"/>
      <c r="D56" s="19">
        <f>'Revenue - Base year'!D57</f>
        <v>46</v>
      </c>
      <c r="E56" s="67" t="str">
        <f>IF(OR('Services - Base year'!E55="",'Services - Base year'!E55="[Enter service]"),"",'Services - Base year'!E55)</f>
        <v/>
      </c>
      <c r="F56" s="68" t="str">
        <f>IF(OR('Services - Base year'!F55="",'Services - Base year'!F55="[Select]"),"",'Services - Base year'!F55)</f>
        <v/>
      </c>
      <c r="G56" s="26"/>
      <c r="H56" s="73"/>
      <c r="I56" s="73"/>
      <c r="J56" s="73"/>
      <c r="K56" s="73"/>
      <c r="L56" s="73"/>
      <c r="M56" s="73"/>
      <c r="N56" s="73"/>
      <c r="O56" s="73"/>
      <c r="P56" s="73"/>
      <c r="Q56" s="400"/>
      <c r="R56" s="425">
        <f t="shared" si="0"/>
        <v>0</v>
      </c>
      <c r="S56" s="31"/>
    </row>
    <row r="57" spans="3:19" ht="12" customHeight="1" x14ac:dyDescent="0.2">
      <c r="C57" s="13"/>
      <c r="D57" s="19">
        <f>'Revenue - Base year'!D58</f>
        <v>47</v>
      </c>
      <c r="E57" s="67" t="str">
        <f>IF(OR('Services - Base year'!E56="",'Services - Base year'!E56="[Enter service]"),"",'Services - Base year'!E56)</f>
        <v/>
      </c>
      <c r="F57" s="68" t="str">
        <f>IF(OR('Services - Base year'!F56="",'Services - Base year'!F56="[Select]"),"",'Services - Base year'!F56)</f>
        <v/>
      </c>
      <c r="G57" s="26"/>
      <c r="H57" s="73"/>
      <c r="I57" s="73"/>
      <c r="J57" s="73"/>
      <c r="K57" s="73"/>
      <c r="L57" s="73"/>
      <c r="M57" s="73"/>
      <c r="N57" s="73"/>
      <c r="O57" s="73"/>
      <c r="P57" s="73"/>
      <c r="Q57" s="400"/>
      <c r="R57" s="425">
        <f t="shared" si="0"/>
        <v>0</v>
      </c>
      <c r="S57" s="31"/>
    </row>
    <row r="58" spans="3:19" ht="12" customHeight="1" x14ac:dyDescent="0.2">
      <c r="C58" s="13"/>
      <c r="D58" s="19">
        <f>'Revenue - Base year'!D59</f>
        <v>48</v>
      </c>
      <c r="E58" s="67" t="str">
        <f>IF(OR('Services - Base year'!E57="",'Services - Base year'!E57="[Enter service]"),"",'Services - Base year'!E57)</f>
        <v/>
      </c>
      <c r="F58" s="68" t="str">
        <f>IF(OR('Services - Base year'!F57="",'Services - Base year'!F57="[Select]"),"",'Services - Base year'!F57)</f>
        <v/>
      </c>
      <c r="G58" s="26"/>
      <c r="H58" s="73"/>
      <c r="I58" s="73"/>
      <c r="J58" s="73"/>
      <c r="K58" s="73"/>
      <c r="L58" s="73"/>
      <c r="M58" s="73"/>
      <c r="N58" s="73"/>
      <c r="O58" s="73"/>
      <c r="P58" s="73"/>
      <c r="Q58" s="400"/>
      <c r="R58" s="425">
        <f t="shared" si="0"/>
        <v>0</v>
      </c>
      <c r="S58" s="31"/>
    </row>
    <row r="59" spans="3:19" ht="12" customHeight="1" x14ac:dyDescent="0.2">
      <c r="C59" s="13"/>
      <c r="D59" s="19">
        <f>'Revenue - Base year'!D60</f>
        <v>49</v>
      </c>
      <c r="E59" s="67" t="str">
        <f>IF(OR('Services - Base year'!E58="",'Services - Base year'!E58="[Enter service]"),"",'Services - Base year'!E58)</f>
        <v/>
      </c>
      <c r="F59" s="68" t="str">
        <f>IF(OR('Services - Base year'!F58="",'Services - Base year'!F58="[Select]"),"",'Services - Base year'!F58)</f>
        <v/>
      </c>
      <c r="G59" s="26"/>
      <c r="H59" s="73"/>
      <c r="I59" s="73"/>
      <c r="J59" s="73"/>
      <c r="K59" s="73"/>
      <c r="L59" s="73"/>
      <c r="M59" s="73"/>
      <c r="N59" s="73"/>
      <c r="O59" s="73"/>
      <c r="P59" s="73"/>
      <c r="Q59" s="400"/>
      <c r="R59" s="425">
        <f t="shared" si="0"/>
        <v>0</v>
      </c>
      <c r="S59" s="31"/>
    </row>
    <row r="60" spans="3:19" ht="12" customHeight="1" x14ac:dyDescent="0.2">
      <c r="C60" s="13"/>
      <c r="D60" s="19">
        <f>'Revenue - Base year'!D61</f>
        <v>50</v>
      </c>
      <c r="E60" s="67" t="str">
        <f>IF(OR('Services - Base year'!E59="",'Services - Base year'!E59="[Enter service]"),"",'Services - Base year'!E59)</f>
        <v/>
      </c>
      <c r="F60" s="68" t="str">
        <f>IF(OR('Services - Base year'!F59="",'Services - Base year'!F59="[Select]"),"",'Services - Base year'!F59)</f>
        <v/>
      </c>
      <c r="G60" s="26"/>
      <c r="H60" s="73"/>
      <c r="I60" s="73"/>
      <c r="J60" s="73"/>
      <c r="K60" s="73"/>
      <c r="L60" s="73"/>
      <c r="M60" s="73"/>
      <c r="N60" s="73"/>
      <c r="O60" s="73"/>
      <c r="P60" s="73"/>
      <c r="Q60" s="400"/>
      <c r="R60" s="425">
        <f t="shared" si="0"/>
        <v>0</v>
      </c>
      <c r="S60" s="31"/>
    </row>
    <row r="61" spans="3:19" ht="12" customHeight="1" x14ac:dyDescent="0.2">
      <c r="C61" s="13"/>
      <c r="D61" s="19">
        <f>'Revenue - Base year'!D62</f>
        <v>51</v>
      </c>
      <c r="E61" s="67" t="str">
        <f>IF(OR('Services - Base year'!E60="",'Services - Base year'!E60="[Enter service]"),"",'Services - Base year'!E60)</f>
        <v/>
      </c>
      <c r="F61" s="68" t="str">
        <f>IF(OR('Services - Base year'!F60="",'Services - Base year'!F60="[Select]"),"",'Services - Base year'!F60)</f>
        <v/>
      </c>
      <c r="G61" s="26"/>
      <c r="H61" s="73"/>
      <c r="I61" s="73"/>
      <c r="J61" s="73"/>
      <c r="K61" s="73"/>
      <c r="L61" s="73"/>
      <c r="M61" s="73"/>
      <c r="N61" s="73"/>
      <c r="O61" s="73"/>
      <c r="P61" s="73"/>
      <c r="Q61" s="400"/>
      <c r="R61" s="425">
        <f t="shared" si="0"/>
        <v>0</v>
      </c>
      <c r="S61" s="31"/>
    </row>
    <row r="62" spans="3:19" ht="12" customHeight="1" x14ac:dyDescent="0.2">
      <c r="C62" s="13"/>
      <c r="D62" s="19">
        <f>'Revenue - Base year'!D63</f>
        <v>52</v>
      </c>
      <c r="E62" s="67" t="str">
        <f>IF(OR('Services - Base year'!E61="",'Services - Base year'!E61="[Enter service]"),"",'Services - Base year'!E61)</f>
        <v/>
      </c>
      <c r="F62" s="68" t="str">
        <f>IF(OR('Services - Base year'!F61="",'Services - Base year'!F61="[Select]"),"",'Services - Base year'!F61)</f>
        <v/>
      </c>
      <c r="G62" s="26"/>
      <c r="H62" s="73"/>
      <c r="I62" s="73"/>
      <c r="J62" s="73"/>
      <c r="K62" s="73"/>
      <c r="L62" s="73"/>
      <c r="M62" s="73"/>
      <c r="N62" s="73"/>
      <c r="O62" s="73"/>
      <c r="P62" s="73"/>
      <c r="Q62" s="400"/>
      <c r="R62" s="425">
        <f t="shared" si="0"/>
        <v>0</v>
      </c>
      <c r="S62" s="31"/>
    </row>
    <row r="63" spans="3:19" ht="12" customHeight="1" x14ac:dyDescent="0.2">
      <c r="C63" s="13"/>
      <c r="D63" s="19">
        <f>'Revenue - Base year'!D64</f>
        <v>53</v>
      </c>
      <c r="E63" s="67" t="str">
        <f>IF(OR('Services - Base year'!E62="",'Services - Base year'!E62="[Enter service]"),"",'Services - Base year'!E62)</f>
        <v/>
      </c>
      <c r="F63" s="68" t="str">
        <f>IF(OR('Services - Base year'!F62="",'Services - Base year'!F62="[Select]"),"",'Services - Base year'!F62)</f>
        <v/>
      </c>
      <c r="G63" s="26"/>
      <c r="H63" s="73"/>
      <c r="I63" s="73"/>
      <c r="J63" s="73"/>
      <c r="K63" s="73"/>
      <c r="L63" s="73"/>
      <c r="M63" s="73"/>
      <c r="N63" s="73"/>
      <c r="O63" s="73"/>
      <c r="P63" s="73"/>
      <c r="Q63" s="400"/>
      <c r="R63" s="425">
        <f t="shared" si="0"/>
        <v>0</v>
      </c>
      <c r="S63" s="31"/>
    </row>
    <row r="64" spans="3:19" ht="12" customHeight="1" x14ac:dyDescent="0.2">
      <c r="C64" s="13"/>
      <c r="D64" s="19">
        <f>'Revenue - Base year'!D65</f>
        <v>54</v>
      </c>
      <c r="E64" s="67" t="str">
        <f>IF(OR('Services - Base year'!E63="",'Services - Base year'!E63="[Enter service]"),"",'Services - Base year'!E63)</f>
        <v/>
      </c>
      <c r="F64" s="68" t="str">
        <f>IF(OR('Services - Base year'!F63="",'Services - Base year'!F63="[Select]"),"",'Services - Base year'!F63)</f>
        <v/>
      </c>
      <c r="G64" s="26"/>
      <c r="H64" s="73"/>
      <c r="I64" s="73"/>
      <c r="J64" s="73"/>
      <c r="K64" s="73"/>
      <c r="L64" s="73"/>
      <c r="M64" s="73"/>
      <c r="N64" s="73"/>
      <c r="O64" s="73"/>
      <c r="P64" s="73"/>
      <c r="Q64" s="400"/>
      <c r="R64" s="425">
        <f t="shared" si="0"/>
        <v>0</v>
      </c>
      <c r="S64" s="31"/>
    </row>
    <row r="65" spans="3:19" ht="12" customHeight="1" x14ac:dyDescent="0.2">
      <c r="C65" s="13"/>
      <c r="D65" s="19">
        <f>'Revenue - Base year'!D66</f>
        <v>55</v>
      </c>
      <c r="E65" s="67" t="str">
        <f>IF(OR('Services - Base year'!E64="",'Services - Base year'!E64="[Enter service]"),"",'Services - Base year'!E64)</f>
        <v/>
      </c>
      <c r="F65" s="68" t="str">
        <f>IF(OR('Services - Base year'!F64="",'Services - Base year'!F64="[Select]"),"",'Services - Base year'!F64)</f>
        <v/>
      </c>
      <c r="G65" s="26"/>
      <c r="H65" s="73"/>
      <c r="I65" s="73"/>
      <c r="J65" s="73"/>
      <c r="K65" s="73"/>
      <c r="L65" s="73"/>
      <c r="M65" s="73"/>
      <c r="N65" s="73"/>
      <c r="O65" s="73"/>
      <c r="P65" s="73"/>
      <c r="Q65" s="400"/>
      <c r="R65" s="425">
        <f t="shared" si="0"/>
        <v>0</v>
      </c>
      <c r="S65" s="31"/>
    </row>
    <row r="66" spans="3:19" ht="12" customHeight="1" x14ac:dyDescent="0.2">
      <c r="C66" s="13"/>
      <c r="D66" s="19">
        <f>'Revenue - Base year'!D67</f>
        <v>56</v>
      </c>
      <c r="E66" s="67" t="str">
        <f>IF(OR('Services - Base year'!E65="",'Services - Base year'!E65="[Enter service]"),"",'Services - Base year'!E65)</f>
        <v/>
      </c>
      <c r="F66" s="68" t="str">
        <f>IF(OR('Services - Base year'!F65="",'Services - Base year'!F65="[Select]"),"",'Services - Base year'!F65)</f>
        <v/>
      </c>
      <c r="G66" s="26"/>
      <c r="H66" s="73"/>
      <c r="I66" s="73"/>
      <c r="J66" s="73"/>
      <c r="K66" s="73"/>
      <c r="L66" s="73"/>
      <c r="M66" s="73"/>
      <c r="N66" s="73"/>
      <c r="O66" s="73"/>
      <c r="P66" s="73"/>
      <c r="Q66" s="400"/>
      <c r="R66" s="425">
        <f t="shared" si="0"/>
        <v>0</v>
      </c>
      <c r="S66" s="31"/>
    </row>
    <row r="67" spans="3:19" ht="12" customHeight="1" x14ac:dyDescent="0.2">
      <c r="C67" s="13"/>
      <c r="D67" s="19">
        <f>'Revenue - Base year'!D68</f>
        <v>57</v>
      </c>
      <c r="E67" s="67" t="str">
        <f>IF(OR('Services - Base year'!E66="",'Services - Base year'!E66="[Enter service]"),"",'Services - Base year'!E66)</f>
        <v/>
      </c>
      <c r="F67" s="68" t="str">
        <f>IF(OR('Services - Base year'!F66="",'Services - Base year'!F66="[Select]"),"",'Services - Base year'!F66)</f>
        <v/>
      </c>
      <c r="G67" s="26"/>
      <c r="H67" s="73"/>
      <c r="I67" s="73"/>
      <c r="J67" s="73"/>
      <c r="K67" s="73"/>
      <c r="L67" s="73"/>
      <c r="M67" s="73"/>
      <c r="N67" s="73"/>
      <c r="O67" s="73"/>
      <c r="P67" s="73"/>
      <c r="Q67" s="400"/>
      <c r="R67" s="425">
        <f t="shared" si="0"/>
        <v>0</v>
      </c>
      <c r="S67" s="31"/>
    </row>
    <row r="68" spans="3:19" ht="12" customHeight="1" x14ac:dyDescent="0.2">
      <c r="C68" s="13"/>
      <c r="D68" s="19">
        <f>'Revenue - Base year'!D69</f>
        <v>58</v>
      </c>
      <c r="E68" s="67" t="str">
        <f>IF(OR('Services - Base year'!E67="",'Services - Base year'!E67="[Enter service]"),"",'Services - Base year'!E67)</f>
        <v/>
      </c>
      <c r="F68" s="68" t="str">
        <f>IF(OR('Services - Base year'!F67="",'Services - Base year'!F67="[Select]"),"",'Services - Base year'!F67)</f>
        <v/>
      </c>
      <c r="G68" s="26"/>
      <c r="H68" s="73"/>
      <c r="I68" s="73"/>
      <c r="J68" s="73"/>
      <c r="K68" s="73"/>
      <c r="L68" s="73"/>
      <c r="M68" s="73"/>
      <c r="N68" s="73"/>
      <c r="O68" s="73"/>
      <c r="P68" s="73"/>
      <c r="Q68" s="400"/>
      <c r="R68" s="425">
        <f t="shared" si="0"/>
        <v>0</v>
      </c>
      <c r="S68" s="31"/>
    </row>
    <row r="69" spans="3:19" ht="12" customHeight="1" x14ac:dyDescent="0.2">
      <c r="C69" s="13"/>
      <c r="D69" s="19">
        <f>'Revenue - Base year'!D70</f>
        <v>59</v>
      </c>
      <c r="E69" s="67" t="str">
        <f>IF(OR('Services - Base year'!E68="",'Services - Base year'!E68="[Enter service]"),"",'Services - Base year'!E68)</f>
        <v/>
      </c>
      <c r="F69" s="68" t="str">
        <f>IF(OR('Services - Base year'!F68="",'Services - Base year'!F68="[Select]"),"",'Services - Base year'!F68)</f>
        <v/>
      </c>
      <c r="G69" s="26"/>
      <c r="H69" s="73"/>
      <c r="I69" s="73"/>
      <c r="J69" s="73"/>
      <c r="K69" s="73"/>
      <c r="L69" s="73"/>
      <c r="M69" s="73"/>
      <c r="N69" s="73"/>
      <c r="O69" s="73"/>
      <c r="P69" s="73"/>
      <c r="Q69" s="400"/>
      <c r="R69" s="425">
        <f t="shared" si="0"/>
        <v>0</v>
      </c>
      <c r="S69" s="31"/>
    </row>
    <row r="70" spans="3:19" ht="12" customHeight="1" x14ac:dyDescent="0.2">
      <c r="C70" s="13"/>
      <c r="D70" s="19">
        <f>'Revenue - Base year'!D71</f>
        <v>60</v>
      </c>
      <c r="E70" s="67" t="str">
        <f>IF(OR('Services - Base year'!E69="",'Services - Base year'!E69="[Enter service]"),"",'Services - Base year'!E69)</f>
        <v/>
      </c>
      <c r="F70" s="68" t="str">
        <f>IF(OR('Services - Base year'!F69="",'Services - Base year'!F69="[Select]"),"",'Services - Base year'!F69)</f>
        <v/>
      </c>
      <c r="G70" s="26"/>
      <c r="H70" s="73"/>
      <c r="I70" s="73"/>
      <c r="J70" s="73"/>
      <c r="K70" s="73"/>
      <c r="L70" s="73"/>
      <c r="M70" s="73"/>
      <c r="N70" s="73"/>
      <c r="O70" s="73"/>
      <c r="P70" s="73"/>
      <c r="Q70" s="400"/>
      <c r="R70" s="425">
        <f t="shared" si="0"/>
        <v>0</v>
      </c>
      <c r="S70" s="31"/>
    </row>
    <row r="71" spans="3:19" ht="12" customHeight="1" x14ac:dyDescent="0.2">
      <c r="C71" s="13"/>
      <c r="D71" s="19">
        <f>'Revenue - Base year'!D72</f>
        <v>61</v>
      </c>
      <c r="E71" s="67" t="str">
        <f>IF(OR('Services - Base year'!E70="",'Services - Base year'!E70="[Enter service]"),"",'Services - Base year'!E70)</f>
        <v/>
      </c>
      <c r="F71" s="68" t="str">
        <f>IF(OR('Services - Base year'!F70="",'Services - Base year'!F70="[Select]"),"",'Services - Base year'!F70)</f>
        <v/>
      </c>
      <c r="G71" s="26"/>
      <c r="H71" s="73"/>
      <c r="I71" s="73"/>
      <c r="J71" s="73"/>
      <c r="K71" s="73"/>
      <c r="L71" s="73"/>
      <c r="M71" s="73"/>
      <c r="N71" s="73"/>
      <c r="O71" s="73"/>
      <c r="P71" s="73"/>
      <c r="Q71" s="400"/>
      <c r="R71" s="425">
        <f t="shared" si="0"/>
        <v>0</v>
      </c>
      <c r="S71" s="31"/>
    </row>
    <row r="72" spans="3:19" ht="12" customHeight="1" x14ac:dyDescent="0.2">
      <c r="C72" s="13"/>
      <c r="D72" s="19">
        <f>'Revenue - Base year'!D73</f>
        <v>62</v>
      </c>
      <c r="E72" s="67" t="str">
        <f>IF(OR('Services - Base year'!E71="",'Services - Base year'!E71="[Enter service]"),"",'Services - Base year'!E71)</f>
        <v/>
      </c>
      <c r="F72" s="68" t="str">
        <f>IF(OR('Services - Base year'!F71="",'Services - Base year'!F71="[Select]"),"",'Services - Base year'!F71)</f>
        <v/>
      </c>
      <c r="G72" s="26"/>
      <c r="H72" s="73"/>
      <c r="I72" s="73"/>
      <c r="J72" s="73"/>
      <c r="K72" s="73"/>
      <c r="L72" s="73"/>
      <c r="M72" s="73"/>
      <c r="N72" s="73"/>
      <c r="O72" s="73"/>
      <c r="P72" s="73"/>
      <c r="Q72" s="400"/>
      <c r="R72" s="425">
        <f t="shared" si="0"/>
        <v>0</v>
      </c>
      <c r="S72" s="31"/>
    </row>
    <row r="73" spans="3:19" ht="12" customHeight="1" x14ac:dyDescent="0.2">
      <c r="C73" s="13"/>
      <c r="D73" s="19">
        <f>'Revenue - Base year'!D74</f>
        <v>63</v>
      </c>
      <c r="E73" s="67" t="str">
        <f>IF(OR('Services - Base year'!E72="",'Services - Base year'!E72="[Enter service]"),"",'Services - Base year'!E72)</f>
        <v/>
      </c>
      <c r="F73" s="68" t="str">
        <f>IF(OR('Services - Base year'!F72="",'Services - Base year'!F72="[Select]"),"",'Services - Base year'!F72)</f>
        <v/>
      </c>
      <c r="G73" s="26"/>
      <c r="H73" s="73"/>
      <c r="I73" s="73"/>
      <c r="J73" s="73"/>
      <c r="K73" s="73"/>
      <c r="L73" s="73"/>
      <c r="M73" s="73"/>
      <c r="N73" s="73"/>
      <c r="O73" s="73"/>
      <c r="P73" s="73"/>
      <c r="Q73" s="400"/>
      <c r="R73" s="425">
        <f t="shared" si="0"/>
        <v>0</v>
      </c>
      <c r="S73" s="31"/>
    </row>
    <row r="74" spans="3:19" ht="12" customHeight="1" x14ac:dyDescent="0.2">
      <c r="C74" s="13"/>
      <c r="D74" s="19">
        <f>'Revenue - Base year'!D75</f>
        <v>64</v>
      </c>
      <c r="E74" s="67" t="str">
        <f>IF(OR('Services - Base year'!E73="",'Services - Base year'!E73="[Enter service]"),"",'Services - Base year'!E73)</f>
        <v/>
      </c>
      <c r="F74" s="68" t="str">
        <f>IF(OR('Services - Base year'!F73="",'Services - Base year'!F73="[Select]"),"",'Services - Base year'!F73)</f>
        <v/>
      </c>
      <c r="G74" s="26"/>
      <c r="H74" s="73"/>
      <c r="I74" s="73"/>
      <c r="J74" s="73"/>
      <c r="K74" s="73"/>
      <c r="L74" s="73"/>
      <c r="M74" s="73"/>
      <c r="N74" s="73"/>
      <c r="O74" s="73"/>
      <c r="P74" s="73"/>
      <c r="Q74" s="400"/>
      <c r="R74" s="425">
        <f t="shared" si="0"/>
        <v>0</v>
      </c>
      <c r="S74" s="31"/>
    </row>
    <row r="75" spans="3:19" ht="12" customHeight="1" x14ac:dyDescent="0.2">
      <c r="C75" s="13"/>
      <c r="D75" s="19">
        <f>'Revenue - Base year'!D76</f>
        <v>65</v>
      </c>
      <c r="E75" s="67" t="str">
        <f>IF(OR('Services - Base year'!E74="",'Services - Base year'!E74="[Enter service]"),"",'Services - Base year'!E74)</f>
        <v/>
      </c>
      <c r="F75" s="68" t="str">
        <f>IF(OR('Services - Base year'!F74="",'Services - Base year'!F74="[Select]"),"",'Services - Base year'!F74)</f>
        <v/>
      </c>
      <c r="G75" s="26"/>
      <c r="H75" s="73"/>
      <c r="I75" s="73"/>
      <c r="J75" s="73"/>
      <c r="K75" s="73"/>
      <c r="L75" s="73"/>
      <c r="M75" s="73"/>
      <c r="N75" s="73"/>
      <c r="O75" s="73"/>
      <c r="P75" s="73"/>
      <c r="Q75" s="400"/>
      <c r="R75" s="425">
        <f t="shared" si="0"/>
        <v>0</v>
      </c>
      <c r="S75" s="31"/>
    </row>
    <row r="76" spans="3:19" ht="12" customHeight="1" x14ac:dyDescent="0.2">
      <c r="C76" s="13"/>
      <c r="D76" s="19">
        <f>'Revenue - Base year'!D77</f>
        <v>66</v>
      </c>
      <c r="E76" s="67" t="str">
        <f>IF(OR('Services - Base year'!E75="",'Services - Base year'!E75="[Enter service]"),"",'Services - Base year'!E75)</f>
        <v/>
      </c>
      <c r="F76" s="68" t="str">
        <f>IF(OR('Services - Base year'!F75="",'Services - Base year'!F75="[Select]"),"",'Services - Base year'!F75)</f>
        <v/>
      </c>
      <c r="G76" s="26"/>
      <c r="H76" s="73"/>
      <c r="I76" s="73"/>
      <c r="J76" s="73"/>
      <c r="K76" s="73"/>
      <c r="L76" s="73"/>
      <c r="M76" s="73"/>
      <c r="N76" s="73"/>
      <c r="O76" s="73"/>
      <c r="P76" s="73"/>
      <c r="Q76" s="400"/>
      <c r="R76" s="425">
        <f t="shared" ref="R76:R139" si="1">SUM(H76:Q76)</f>
        <v>0</v>
      </c>
      <c r="S76" s="31"/>
    </row>
    <row r="77" spans="3:19" ht="12" customHeight="1" x14ac:dyDescent="0.2">
      <c r="C77" s="13"/>
      <c r="D77" s="19">
        <f>'Revenue - Base year'!D78</f>
        <v>67</v>
      </c>
      <c r="E77" s="67" t="str">
        <f>IF(OR('Services - Base year'!E76="",'Services - Base year'!E76="[Enter service]"),"",'Services - Base year'!E76)</f>
        <v/>
      </c>
      <c r="F77" s="68" t="str">
        <f>IF(OR('Services - Base year'!F76="",'Services - Base year'!F76="[Select]"),"",'Services - Base year'!F76)</f>
        <v/>
      </c>
      <c r="G77" s="26"/>
      <c r="H77" s="73"/>
      <c r="I77" s="73"/>
      <c r="J77" s="73"/>
      <c r="K77" s="73"/>
      <c r="L77" s="73"/>
      <c r="M77" s="73"/>
      <c r="N77" s="73"/>
      <c r="O77" s="73"/>
      <c r="P77" s="73"/>
      <c r="Q77" s="400"/>
      <c r="R77" s="425">
        <f t="shared" si="1"/>
        <v>0</v>
      </c>
      <c r="S77" s="31"/>
    </row>
    <row r="78" spans="3:19" ht="12" customHeight="1" x14ac:dyDescent="0.2">
      <c r="C78" s="13"/>
      <c r="D78" s="19">
        <f>'Revenue - Base year'!D79</f>
        <v>68</v>
      </c>
      <c r="E78" s="67" t="str">
        <f>IF(OR('Services - Base year'!E77="",'Services - Base year'!E77="[Enter service]"),"",'Services - Base year'!E77)</f>
        <v/>
      </c>
      <c r="F78" s="68" t="str">
        <f>IF(OR('Services - Base year'!F77="",'Services - Base year'!F77="[Select]"),"",'Services - Base year'!F77)</f>
        <v/>
      </c>
      <c r="G78" s="26"/>
      <c r="H78" s="73"/>
      <c r="I78" s="73"/>
      <c r="J78" s="73"/>
      <c r="K78" s="73"/>
      <c r="L78" s="73"/>
      <c r="M78" s="73"/>
      <c r="N78" s="73"/>
      <c r="O78" s="73"/>
      <c r="P78" s="73"/>
      <c r="Q78" s="400"/>
      <c r="R78" s="425">
        <f t="shared" si="1"/>
        <v>0</v>
      </c>
      <c r="S78" s="31"/>
    </row>
    <row r="79" spans="3:19" ht="12" customHeight="1" x14ac:dyDescent="0.2">
      <c r="C79" s="13"/>
      <c r="D79" s="19">
        <f>'Revenue - Base year'!D80</f>
        <v>69</v>
      </c>
      <c r="E79" s="67" t="str">
        <f>IF(OR('Services - Base year'!E78="",'Services - Base year'!E78="[Enter service]"),"",'Services - Base year'!E78)</f>
        <v/>
      </c>
      <c r="F79" s="68" t="str">
        <f>IF(OR('Services - Base year'!F78="",'Services - Base year'!F78="[Select]"),"",'Services - Base year'!F78)</f>
        <v/>
      </c>
      <c r="G79" s="26"/>
      <c r="H79" s="73"/>
      <c r="I79" s="73"/>
      <c r="J79" s="73"/>
      <c r="K79" s="73"/>
      <c r="L79" s="73"/>
      <c r="M79" s="73"/>
      <c r="N79" s="73"/>
      <c r="O79" s="73"/>
      <c r="P79" s="73"/>
      <c r="Q79" s="400"/>
      <c r="R79" s="425">
        <f t="shared" si="1"/>
        <v>0</v>
      </c>
      <c r="S79" s="31"/>
    </row>
    <row r="80" spans="3:19" ht="12" customHeight="1" x14ac:dyDescent="0.2">
      <c r="C80" s="13"/>
      <c r="D80" s="19">
        <f>'Revenue - Base year'!D81</f>
        <v>70</v>
      </c>
      <c r="E80" s="67" t="str">
        <f>IF(OR('Services - Base year'!E79="",'Services - Base year'!E79="[Enter service]"),"",'Services - Base year'!E79)</f>
        <v/>
      </c>
      <c r="F80" s="68" t="str">
        <f>IF(OR('Services - Base year'!F79="",'Services - Base year'!F79="[Select]"),"",'Services - Base year'!F79)</f>
        <v/>
      </c>
      <c r="G80" s="26"/>
      <c r="H80" s="73"/>
      <c r="I80" s="73"/>
      <c r="J80" s="73"/>
      <c r="K80" s="73"/>
      <c r="L80" s="73"/>
      <c r="M80" s="73"/>
      <c r="N80" s="73"/>
      <c r="O80" s="73"/>
      <c r="P80" s="73"/>
      <c r="Q80" s="400"/>
      <c r="R80" s="425">
        <f t="shared" si="1"/>
        <v>0</v>
      </c>
      <c r="S80" s="31"/>
    </row>
    <row r="81" spans="3:19" ht="12" customHeight="1" x14ac:dyDescent="0.2">
      <c r="C81" s="13"/>
      <c r="D81" s="19">
        <f>'Revenue - Base year'!D82</f>
        <v>71</v>
      </c>
      <c r="E81" s="67" t="str">
        <f>IF(OR('Services - Base year'!E80="",'Services - Base year'!E80="[Enter service]"),"",'Services - Base year'!E80)</f>
        <v/>
      </c>
      <c r="F81" s="68" t="str">
        <f>IF(OR('Services - Base year'!F80="",'Services - Base year'!F80="[Select]"),"",'Services - Base year'!F80)</f>
        <v/>
      </c>
      <c r="G81" s="26"/>
      <c r="H81" s="73"/>
      <c r="I81" s="73"/>
      <c r="J81" s="73"/>
      <c r="K81" s="73"/>
      <c r="L81" s="73"/>
      <c r="M81" s="73"/>
      <c r="N81" s="73"/>
      <c r="O81" s="73"/>
      <c r="P81" s="73"/>
      <c r="Q81" s="400"/>
      <c r="R81" s="425">
        <f t="shared" si="1"/>
        <v>0</v>
      </c>
      <c r="S81" s="31"/>
    </row>
    <row r="82" spans="3:19" ht="12" customHeight="1" x14ac:dyDescent="0.2">
      <c r="C82" s="13"/>
      <c r="D82" s="19">
        <f>'Revenue - Base year'!D83</f>
        <v>72</v>
      </c>
      <c r="E82" s="67" t="str">
        <f>IF(OR('Services - Base year'!E81="",'Services - Base year'!E81="[Enter service]"),"",'Services - Base year'!E81)</f>
        <v/>
      </c>
      <c r="F82" s="68" t="str">
        <f>IF(OR('Services - Base year'!F81="",'Services - Base year'!F81="[Select]"),"",'Services - Base year'!F81)</f>
        <v/>
      </c>
      <c r="G82" s="26"/>
      <c r="H82" s="73"/>
      <c r="I82" s="73"/>
      <c r="J82" s="73"/>
      <c r="K82" s="73"/>
      <c r="L82" s="73"/>
      <c r="M82" s="73"/>
      <c r="N82" s="73"/>
      <c r="O82" s="73"/>
      <c r="P82" s="73"/>
      <c r="Q82" s="400"/>
      <c r="R82" s="425">
        <f t="shared" si="1"/>
        <v>0</v>
      </c>
      <c r="S82" s="31"/>
    </row>
    <row r="83" spans="3:19" ht="12" customHeight="1" x14ac:dyDescent="0.2">
      <c r="C83" s="13"/>
      <c r="D83" s="19">
        <f>'Revenue - Base year'!D84</f>
        <v>73</v>
      </c>
      <c r="E83" s="67" t="str">
        <f>IF(OR('Services - Base year'!E82="",'Services - Base year'!E82="[Enter service]"),"",'Services - Base year'!E82)</f>
        <v/>
      </c>
      <c r="F83" s="68" t="str">
        <f>IF(OR('Services - Base year'!F82="",'Services - Base year'!F82="[Select]"),"",'Services - Base year'!F82)</f>
        <v/>
      </c>
      <c r="G83" s="26"/>
      <c r="H83" s="73"/>
      <c r="I83" s="73"/>
      <c r="J83" s="73"/>
      <c r="K83" s="73"/>
      <c r="L83" s="73"/>
      <c r="M83" s="73"/>
      <c r="N83" s="73"/>
      <c r="O83" s="73"/>
      <c r="P83" s="73"/>
      <c r="Q83" s="400"/>
      <c r="R83" s="425">
        <f t="shared" si="1"/>
        <v>0</v>
      </c>
      <c r="S83" s="31"/>
    </row>
    <row r="84" spans="3:19" ht="12" customHeight="1" x14ac:dyDescent="0.2">
      <c r="C84" s="13"/>
      <c r="D84" s="19">
        <f>'Revenue - Base year'!D85</f>
        <v>74</v>
      </c>
      <c r="E84" s="67" t="str">
        <f>IF(OR('Services - Base year'!E83="",'Services - Base year'!E83="[Enter service]"),"",'Services - Base year'!E83)</f>
        <v/>
      </c>
      <c r="F84" s="68" t="str">
        <f>IF(OR('Services - Base year'!F83="",'Services - Base year'!F83="[Select]"),"",'Services - Base year'!F83)</f>
        <v/>
      </c>
      <c r="G84" s="26"/>
      <c r="H84" s="73"/>
      <c r="I84" s="73"/>
      <c r="J84" s="73"/>
      <c r="K84" s="73"/>
      <c r="L84" s="73"/>
      <c r="M84" s="73"/>
      <c r="N84" s="73"/>
      <c r="O84" s="73"/>
      <c r="P84" s="73"/>
      <c r="Q84" s="400"/>
      <c r="R84" s="425">
        <f t="shared" si="1"/>
        <v>0</v>
      </c>
      <c r="S84" s="31"/>
    </row>
    <row r="85" spans="3:19" ht="12" customHeight="1" x14ac:dyDescent="0.2">
      <c r="C85" s="13"/>
      <c r="D85" s="19">
        <f>'Revenue - Base year'!D86</f>
        <v>75</v>
      </c>
      <c r="E85" s="67" t="str">
        <f>IF(OR('Services - Base year'!E84="",'Services - Base year'!E84="[Enter service]"),"",'Services - Base year'!E84)</f>
        <v/>
      </c>
      <c r="F85" s="68" t="str">
        <f>IF(OR('Services - Base year'!F84="",'Services - Base year'!F84="[Select]"),"",'Services - Base year'!F84)</f>
        <v/>
      </c>
      <c r="G85" s="26"/>
      <c r="H85" s="73"/>
      <c r="I85" s="73"/>
      <c r="J85" s="73"/>
      <c r="K85" s="73"/>
      <c r="L85" s="73"/>
      <c r="M85" s="73"/>
      <c r="N85" s="73"/>
      <c r="O85" s="73"/>
      <c r="P85" s="73"/>
      <c r="Q85" s="400"/>
      <c r="R85" s="425">
        <f t="shared" si="1"/>
        <v>0</v>
      </c>
      <c r="S85" s="31"/>
    </row>
    <row r="86" spans="3:19" ht="12" customHeight="1" x14ac:dyDescent="0.2">
      <c r="C86" s="13"/>
      <c r="D86" s="19">
        <f>'Revenue - Base year'!D87</f>
        <v>76</v>
      </c>
      <c r="E86" s="67" t="str">
        <f>IF(OR('Services - Base year'!E85="",'Services - Base year'!E85="[Enter service]"),"",'Services - Base year'!E85)</f>
        <v/>
      </c>
      <c r="F86" s="68" t="str">
        <f>IF(OR('Services - Base year'!F85="",'Services - Base year'!F85="[Select]"),"",'Services - Base year'!F85)</f>
        <v/>
      </c>
      <c r="G86" s="26"/>
      <c r="H86" s="73"/>
      <c r="I86" s="73"/>
      <c r="J86" s="73"/>
      <c r="K86" s="73"/>
      <c r="L86" s="73"/>
      <c r="M86" s="73"/>
      <c r="N86" s="73"/>
      <c r="O86" s="73"/>
      <c r="P86" s="73"/>
      <c r="Q86" s="400"/>
      <c r="R86" s="425">
        <f t="shared" si="1"/>
        <v>0</v>
      </c>
      <c r="S86" s="31"/>
    </row>
    <row r="87" spans="3:19" ht="12" customHeight="1" x14ac:dyDescent="0.2">
      <c r="C87" s="13"/>
      <c r="D87" s="19">
        <f>'Revenue - Base year'!D88</f>
        <v>77</v>
      </c>
      <c r="E87" s="67" t="str">
        <f>IF(OR('Services - Base year'!E86="",'Services - Base year'!E86="[Enter service]"),"",'Services - Base year'!E86)</f>
        <v/>
      </c>
      <c r="F87" s="68" t="str">
        <f>IF(OR('Services - Base year'!F86="",'Services - Base year'!F86="[Select]"),"",'Services - Base year'!F86)</f>
        <v/>
      </c>
      <c r="G87" s="26"/>
      <c r="H87" s="73"/>
      <c r="I87" s="73"/>
      <c r="J87" s="73"/>
      <c r="K87" s="73"/>
      <c r="L87" s="73"/>
      <c r="M87" s="73"/>
      <c r="N87" s="73"/>
      <c r="O87" s="73"/>
      <c r="P87" s="73"/>
      <c r="Q87" s="400"/>
      <c r="R87" s="425">
        <f t="shared" si="1"/>
        <v>0</v>
      </c>
      <c r="S87" s="31"/>
    </row>
    <row r="88" spans="3:19" ht="12" customHeight="1" x14ac:dyDescent="0.2">
      <c r="C88" s="13"/>
      <c r="D88" s="19">
        <f>'Revenue - Base year'!D89</f>
        <v>78</v>
      </c>
      <c r="E88" s="67" t="str">
        <f>IF(OR('Services - Base year'!E87="",'Services - Base year'!E87="[Enter service]"),"",'Services - Base year'!E87)</f>
        <v/>
      </c>
      <c r="F88" s="68" t="str">
        <f>IF(OR('Services - Base year'!F87="",'Services - Base year'!F87="[Select]"),"",'Services - Base year'!F87)</f>
        <v/>
      </c>
      <c r="G88" s="26"/>
      <c r="H88" s="73"/>
      <c r="I88" s="73"/>
      <c r="J88" s="73"/>
      <c r="K88" s="73"/>
      <c r="L88" s="73"/>
      <c r="M88" s="73"/>
      <c r="N88" s="73"/>
      <c r="O88" s="73"/>
      <c r="P88" s="73"/>
      <c r="Q88" s="400"/>
      <c r="R88" s="425">
        <f t="shared" si="1"/>
        <v>0</v>
      </c>
      <c r="S88" s="31"/>
    </row>
    <row r="89" spans="3:19" ht="12" customHeight="1" x14ac:dyDescent="0.2">
      <c r="C89" s="13"/>
      <c r="D89" s="19">
        <f>'Revenue - Base year'!D90</f>
        <v>79</v>
      </c>
      <c r="E89" s="67" t="str">
        <f>IF(OR('Services - Base year'!E88="",'Services - Base year'!E88="[Enter service]"),"",'Services - Base year'!E88)</f>
        <v/>
      </c>
      <c r="F89" s="68" t="str">
        <f>IF(OR('Services - Base year'!F88="",'Services - Base year'!F88="[Select]"),"",'Services - Base year'!F88)</f>
        <v/>
      </c>
      <c r="G89" s="26"/>
      <c r="H89" s="73"/>
      <c r="I89" s="73"/>
      <c r="J89" s="73"/>
      <c r="K89" s="73"/>
      <c r="L89" s="73"/>
      <c r="M89" s="73"/>
      <c r="N89" s="73"/>
      <c r="O89" s="73"/>
      <c r="P89" s="73"/>
      <c r="Q89" s="400"/>
      <c r="R89" s="425">
        <f t="shared" si="1"/>
        <v>0</v>
      </c>
      <c r="S89" s="31"/>
    </row>
    <row r="90" spans="3:19" ht="12" customHeight="1" x14ac:dyDescent="0.2">
      <c r="C90" s="13"/>
      <c r="D90" s="19">
        <f>'Revenue - Base year'!D91</f>
        <v>80</v>
      </c>
      <c r="E90" s="67" t="str">
        <f>IF(OR('Services - Base year'!E89="",'Services - Base year'!E89="[Enter service]"),"",'Services - Base year'!E89)</f>
        <v/>
      </c>
      <c r="F90" s="68" t="str">
        <f>IF(OR('Services - Base year'!F89="",'Services - Base year'!F89="[Select]"),"",'Services - Base year'!F89)</f>
        <v/>
      </c>
      <c r="G90" s="26"/>
      <c r="H90" s="73"/>
      <c r="I90" s="73"/>
      <c r="J90" s="73"/>
      <c r="K90" s="73"/>
      <c r="L90" s="73"/>
      <c r="M90" s="73"/>
      <c r="N90" s="73"/>
      <c r="O90" s="73"/>
      <c r="P90" s="73"/>
      <c r="Q90" s="400"/>
      <c r="R90" s="425">
        <f t="shared" si="1"/>
        <v>0</v>
      </c>
      <c r="S90" s="31"/>
    </row>
    <row r="91" spans="3:19" ht="12" customHeight="1" x14ac:dyDescent="0.2">
      <c r="C91" s="13"/>
      <c r="D91" s="19">
        <f>'Revenue - Base year'!D92</f>
        <v>81</v>
      </c>
      <c r="E91" s="67" t="str">
        <f>IF(OR('Services - Base year'!E90="",'Services - Base year'!E90="[Enter service]"),"",'Services - Base year'!E90)</f>
        <v/>
      </c>
      <c r="F91" s="68" t="str">
        <f>IF(OR('Services - Base year'!F90="",'Services - Base year'!F90="[Select]"),"",'Services - Base year'!F90)</f>
        <v/>
      </c>
      <c r="G91" s="26"/>
      <c r="H91" s="73"/>
      <c r="I91" s="73"/>
      <c r="J91" s="73"/>
      <c r="K91" s="73"/>
      <c r="L91" s="73"/>
      <c r="M91" s="73"/>
      <c r="N91" s="73"/>
      <c r="O91" s="73"/>
      <c r="P91" s="73"/>
      <c r="Q91" s="400"/>
      <c r="R91" s="425">
        <f t="shared" si="1"/>
        <v>0</v>
      </c>
      <c r="S91" s="31"/>
    </row>
    <row r="92" spans="3:19" ht="12" customHeight="1" x14ac:dyDescent="0.2">
      <c r="C92" s="13"/>
      <c r="D92" s="19">
        <f>'Revenue - Base year'!D93</f>
        <v>82</v>
      </c>
      <c r="E92" s="67" t="str">
        <f>IF(OR('Services - Base year'!E91="",'Services - Base year'!E91="[Enter service]"),"",'Services - Base year'!E91)</f>
        <v/>
      </c>
      <c r="F92" s="68" t="str">
        <f>IF(OR('Services - Base year'!F91="",'Services - Base year'!F91="[Select]"),"",'Services - Base year'!F91)</f>
        <v/>
      </c>
      <c r="G92" s="26"/>
      <c r="H92" s="73"/>
      <c r="I92" s="73"/>
      <c r="J92" s="73"/>
      <c r="K92" s="73"/>
      <c r="L92" s="73"/>
      <c r="M92" s="73"/>
      <c r="N92" s="73"/>
      <c r="O92" s="73"/>
      <c r="P92" s="73"/>
      <c r="Q92" s="400"/>
      <c r="R92" s="425">
        <f t="shared" si="1"/>
        <v>0</v>
      </c>
      <c r="S92" s="31"/>
    </row>
    <row r="93" spans="3:19" ht="12" customHeight="1" x14ac:dyDescent="0.2">
      <c r="C93" s="13"/>
      <c r="D93" s="19">
        <f>'Revenue - Base year'!D94</f>
        <v>83</v>
      </c>
      <c r="E93" s="67" t="str">
        <f>IF(OR('Services - Base year'!E92="",'Services - Base year'!E92="[Enter service]"),"",'Services - Base year'!E92)</f>
        <v/>
      </c>
      <c r="F93" s="68" t="str">
        <f>IF(OR('Services - Base year'!F92="",'Services - Base year'!F92="[Select]"),"",'Services - Base year'!F92)</f>
        <v/>
      </c>
      <c r="G93" s="26"/>
      <c r="H93" s="73"/>
      <c r="I93" s="73"/>
      <c r="J93" s="73"/>
      <c r="K93" s="73"/>
      <c r="L93" s="73"/>
      <c r="M93" s="73"/>
      <c r="N93" s="73"/>
      <c r="O93" s="73"/>
      <c r="P93" s="73"/>
      <c r="Q93" s="400"/>
      <c r="R93" s="425">
        <f t="shared" si="1"/>
        <v>0</v>
      </c>
      <c r="S93" s="31"/>
    </row>
    <row r="94" spans="3:19" ht="12" customHeight="1" x14ac:dyDescent="0.2">
      <c r="C94" s="13"/>
      <c r="D94" s="19">
        <f>'Revenue - Base year'!D95</f>
        <v>84</v>
      </c>
      <c r="E94" s="67" t="str">
        <f>IF(OR('Services - Base year'!E93="",'Services - Base year'!E93="[Enter service]"),"",'Services - Base year'!E93)</f>
        <v/>
      </c>
      <c r="F94" s="68" t="str">
        <f>IF(OR('Services - Base year'!F93="",'Services - Base year'!F93="[Select]"),"",'Services - Base year'!F93)</f>
        <v/>
      </c>
      <c r="G94" s="26"/>
      <c r="H94" s="73"/>
      <c r="I94" s="73"/>
      <c r="J94" s="73"/>
      <c r="K94" s="73"/>
      <c r="L94" s="73"/>
      <c r="M94" s="73"/>
      <c r="N94" s="73"/>
      <c r="O94" s="73"/>
      <c r="P94" s="73"/>
      <c r="Q94" s="400"/>
      <c r="R94" s="425">
        <f t="shared" si="1"/>
        <v>0</v>
      </c>
      <c r="S94" s="31"/>
    </row>
    <row r="95" spans="3:19" ht="12" customHeight="1" x14ac:dyDescent="0.2">
      <c r="C95" s="13"/>
      <c r="D95" s="19">
        <f>'Revenue - Base year'!D96</f>
        <v>85</v>
      </c>
      <c r="E95" s="67" t="str">
        <f>IF(OR('Services - Base year'!E94="",'Services - Base year'!E94="[Enter service]"),"",'Services - Base year'!E94)</f>
        <v/>
      </c>
      <c r="F95" s="68" t="str">
        <f>IF(OR('Services - Base year'!F94="",'Services - Base year'!F94="[Select]"),"",'Services - Base year'!F94)</f>
        <v/>
      </c>
      <c r="G95" s="26"/>
      <c r="H95" s="73"/>
      <c r="I95" s="73"/>
      <c r="J95" s="73"/>
      <c r="K95" s="73"/>
      <c r="L95" s="73"/>
      <c r="M95" s="73"/>
      <c r="N95" s="73"/>
      <c r="O95" s="73"/>
      <c r="P95" s="73"/>
      <c r="Q95" s="400"/>
      <c r="R95" s="425">
        <f t="shared" si="1"/>
        <v>0</v>
      </c>
      <c r="S95" s="31"/>
    </row>
    <row r="96" spans="3:19" ht="12" customHeight="1" x14ac:dyDescent="0.2">
      <c r="C96" s="13"/>
      <c r="D96" s="19">
        <f>'Revenue - Base year'!D97</f>
        <v>86</v>
      </c>
      <c r="E96" s="67" t="str">
        <f>IF(OR('Services - Base year'!E95="",'Services - Base year'!E95="[Enter service]"),"",'Services - Base year'!E95)</f>
        <v/>
      </c>
      <c r="F96" s="68" t="str">
        <f>IF(OR('Services - Base year'!F95="",'Services - Base year'!F95="[Select]"),"",'Services - Base year'!F95)</f>
        <v/>
      </c>
      <c r="G96" s="26"/>
      <c r="H96" s="73"/>
      <c r="I96" s="73"/>
      <c r="J96" s="73"/>
      <c r="K96" s="73"/>
      <c r="L96" s="73"/>
      <c r="M96" s="73"/>
      <c r="N96" s="73"/>
      <c r="O96" s="73"/>
      <c r="P96" s="73"/>
      <c r="Q96" s="400"/>
      <c r="R96" s="425">
        <f t="shared" si="1"/>
        <v>0</v>
      </c>
      <c r="S96" s="31"/>
    </row>
    <row r="97" spans="3:19" ht="12" customHeight="1" x14ac:dyDescent="0.2">
      <c r="C97" s="13"/>
      <c r="D97" s="19">
        <f>'Revenue - Base year'!D98</f>
        <v>87</v>
      </c>
      <c r="E97" s="67" t="str">
        <f>IF(OR('Services - Base year'!E96="",'Services - Base year'!E96="[Enter service]"),"",'Services - Base year'!E96)</f>
        <v/>
      </c>
      <c r="F97" s="68" t="str">
        <f>IF(OR('Services - Base year'!F96="",'Services - Base year'!F96="[Select]"),"",'Services - Base year'!F96)</f>
        <v/>
      </c>
      <c r="G97" s="26"/>
      <c r="H97" s="73"/>
      <c r="I97" s="73"/>
      <c r="J97" s="73"/>
      <c r="K97" s="73"/>
      <c r="L97" s="73"/>
      <c r="M97" s="73"/>
      <c r="N97" s="73"/>
      <c r="O97" s="73"/>
      <c r="P97" s="73"/>
      <c r="Q97" s="400"/>
      <c r="R97" s="425">
        <f t="shared" si="1"/>
        <v>0</v>
      </c>
      <c r="S97" s="31"/>
    </row>
    <row r="98" spans="3:19" ht="12" customHeight="1" x14ac:dyDescent="0.2">
      <c r="C98" s="13"/>
      <c r="D98" s="19">
        <f>'Revenue - Base year'!D99</f>
        <v>88</v>
      </c>
      <c r="E98" s="67" t="str">
        <f>IF(OR('Services - Base year'!E97="",'Services - Base year'!E97="[Enter service]"),"",'Services - Base year'!E97)</f>
        <v/>
      </c>
      <c r="F98" s="68" t="str">
        <f>IF(OR('Services - Base year'!F97="",'Services - Base year'!F97="[Select]"),"",'Services - Base year'!F97)</f>
        <v/>
      </c>
      <c r="G98" s="26"/>
      <c r="H98" s="73"/>
      <c r="I98" s="73"/>
      <c r="J98" s="73"/>
      <c r="K98" s="73"/>
      <c r="L98" s="73"/>
      <c r="M98" s="73"/>
      <c r="N98" s="73"/>
      <c r="O98" s="73"/>
      <c r="P98" s="73"/>
      <c r="Q98" s="400"/>
      <c r="R98" s="425">
        <f t="shared" si="1"/>
        <v>0</v>
      </c>
      <c r="S98" s="31"/>
    </row>
    <row r="99" spans="3:19" ht="12" customHeight="1" x14ac:dyDescent="0.2">
      <c r="C99" s="13"/>
      <c r="D99" s="19">
        <f>'Revenue - Base year'!D100</f>
        <v>89</v>
      </c>
      <c r="E99" s="67" t="str">
        <f>IF(OR('Services - Base year'!E98="",'Services - Base year'!E98="[Enter service]"),"",'Services - Base year'!E98)</f>
        <v/>
      </c>
      <c r="F99" s="68" t="str">
        <f>IF(OR('Services - Base year'!F98="",'Services - Base year'!F98="[Select]"),"",'Services - Base year'!F98)</f>
        <v/>
      </c>
      <c r="G99" s="26"/>
      <c r="H99" s="73"/>
      <c r="I99" s="73"/>
      <c r="J99" s="73"/>
      <c r="K99" s="73"/>
      <c r="L99" s="73"/>
      <c r="M99" s="73"/>
      <c r="N99" s="73"/>
      <c r="O99" s="73"/>
      <c r="P99" s="73"/>
      <c r="Q99" s="400"/>
      <c r="R99" s="425">
        <f t="shared" si="1"/>
        <v>0</v>
      </c>
      <c r="S99" s="31"/>
    </row>
    <row r="100" spans="3:19" ht="12" customHeight="1" x14ac:dyDescent="0.2">
      <c r="C100" s="13"/>
      <c r="D100" s="19">
        <f>'Revenue - Base year'!D101</f>
        <v>90</v>
      </c>
      <c r="E100" s="67" t="str">
        <f>IF(OR('Services - Base year'!E99="",'Services - Base year'!E99="[Enter service]"),"",'Services - Base year'!E99)</f>
        <v/>
      </c>
      <c r="F100" s="68" t="str">
        <f>IF(OR('Services - Base year'!F99="",'Services - Base year'!F99="[Select]"),"",'Services - Base year'!F99)</f>
        <v/>
      </c>
      <c r="G100" s="26"/>
      <c r="H100" s="73"/>
      <c r="I100" s="73"/>
      <c r="J100" s="73"/>
      <c r="K100" s="73"/>
      <c r="L100" s="73"/>
      <c r="M100" s="73"/>
      <c r="N100" s="73"/>
      <c r="O100" s="73"/>
      <c r="P100" s="73"/>
      <c r="Q100" s="400"/>
      <c r="R100" s="425">
        <f t="shared" si="1"/>
        <v>0</v>
      </c>
      <c r="S100" s="31"/>
    </row>
    <row r="101" spans="3:19" ht="12" customHeight="1" x14ac:dyDescent="0.2">
      <c r="C101" s="13"/>
      <c r="D101" s="19">
        <f>'Revenue - Base year'!D102</f>
        <v>91</v>
      </c>
      <c r="E101" s="67" t="str">
        <f>IF(OR('Services - Base year'!E100="",'Services - Base year'!E100="[Enter service]"),"",'Services - Base year'!E100)</f>
        <v/>
      </c>
      <c r="F101" s="68" t="str">
        <f>IF(OR('Services - Base year'!F100="",'Services - Base year'!F100="[Select]"),"",'Services - Base year'!F100)</f>
        <v/>
      </c>
      <c r="G101" s="26"/>
      <c r="H101" s="73"/>
      <c r="I101" s="73"/>
      <c r="J101" s="73"/>
      <c r="K101" s="73"/>
      <c r="L101" s="73"/>
      <c r="M101" s="73"/>
      <c r="N101" s="73"/>
      <c r="O101" s="73"/>
      <c r="P101" s="73"/>
      <c r="Q101" s="400"/>
      <c r="R101" s="425">
        <f t="shared" si="1"/>
        <v>0</v>
      </c>
      <c r="S101" s="31"/>
    </row>
    <row r="102" spans="3:19" ht="12" customHeight="1" x14ac:dyDescent="0.2">
      <c r="C102" s="13"/>
      <c r="D102" s="19">
        <f>'Revenue - Base year'!D103</f>
        <v>92</v>
      </c>
      <c r="E102" s="67" t="str">
        <f>IF(OR('Services - Base year'!E101="",'Services - Base year'!E101="[Enter service]"),"",'Services - Base year'!E101)</f>
        <v/>
      </c>
      <c r="F102" s="68" t="str">
        <f>IF(OR('Services - Base year'!F101="",'Services - Base year'!F101="[Select]"),"",'Services - Base year'!F101)</f>
        <v/>
      </c>
      <c r="G102" s="26"/>
      <c r="H102" s="73"/>
      <c r="I102" s="73"/>
      <c r="J102" s="73"/>
      <c r="K102" s="73"/>
      <c r="L102" s="73"/>
      <c r="M102" s="73"/>
      <c r="N102" s="73"/>
      <c r="O102" s="73"/>
      <c r="P102" s="73"/>
      <c r="Q102" s="400"/>
      <c r="R102" s="425">
        <f t="shared" si="1"/>
        <v>0</v>
      </c>
      <c r="S102" s="31"/>
    </row>
    <row r="103" spans="3:19" ht="12" customHeight="1" x14ac:dyDescent="0.2">
      <c r="C103" s="13"/>
      <c r="D103" s="19">
        <f>'Revenue - Base year'!D104</f>
        <v>93</v>
      </c>
      <c r="E103" s="67" t="str">
        <f>IF(OR('Services - Base year'!E102="",'Services - Base year'!E102="[Enter service]"),"",'Services - Base year'!E102)</f>
        <v/>
      </c>
      <c r="F103" s="68" t="str">
        <f>IF(OR('Services - Base year'!F102="",'Services - Base year'!F102="[Select]"),"",'Services - Base year'!F102)</f>
        <v/>
      </c>
      <c r="G103" s="26"/>
      <c r="H103" s="73"/>
      <c r="I103" s="73"/>
      <c r="J103" s="73"/>
      <c r="K103" s="73"/>
      <c r="L103" s="73"/>
      <c r="M103" s="73"/>
      <c r="N103" s="73"/>
      <c r="O103" s="73"/>
      <c r="P103" s="73"/>
      <c r="Q103" s="400"/>
      <c r="R103" s="425">
        <f t="shared" si="1"/>
        <v>0</v>
      </c>
      <c r="S103" s="31"/>
    </row>
    <row r="104" spans="3:19" ht="12" customHeight="1" x14ac:dyDescent="0.2">
      <c r="C104" s="13"/>
      <c r="D104" s="19">
        <f>'Revenue - Base year'!D105</f>
        <v>94</v>
      </c>
      <c r="E104" s="67" t="str">
        <f>IF(OR('Services - Base year'!E103="",'Services - Base year'!E103="[Enter service]"),"",'Services - Base year'!E103)</f>
        <v/>
      </c>
      <c r="F104" s="68" t="str">
        <f>IF(OR('Services - Base year'!F103="",'Services - Base year'!F103="[Select]"),"",'Services - Base year'!F103)</f>
        <v/>
      </c>
      <c r="G104" s="26"/>
      <c r="H104" s="73"/>
      <c r="I104" s="73"/>
      <c r="J104" s="73"/>
      <c r="K104" s="73"/>
      <c r="L104" s="73"/>
      <c r="M104" s="73"/>
      <c r="N104" s="73"/>
      <c r="O104" s="73"/>
      <c r="P104" s="73"/>
      <c r="Q104" s="400"/>
      <c r="R104" s="425">
        <f t="shared" si="1"/>
        <v>0</v>
      </c>
      <c r="S104" s="31"/>
    </row>
    <row r="105" spans="3:19" ht="12" customHeight="1" x14ac:dyDescent="0.2">
      <c r="C105" s="13"/>
      <c r="D105" s="19">
        <f>'Revenue - Base year'!D106</f>
        <v>95</v>
      </c>
      <c r="E105" s="67" t="str">
        <f>IF(OR('Services - Base year'!E104="",'Services - Base year'!E104="[Enter service]"),"",'Services - Base year'!E104)</f>
        <v/>
      </c>
      <c r="F105" s="68" t="str">
        <f>IF(OR('Services - Base year'!F104="",'Services - Base year'!F104="[Select]"),"",'Services - Base year'!F104)</f>
        <v/>
      </c>
      <c r="G105" s="26"/>
      <c r="H105" s="73"/>
      <c r="I105" s="73"/>
      <c r="J105" s="73"/>
      <c r="K105" s="73"/>
      <c r="L105" s="73"/>
      <c r="M105" s="73"/>
      <c r="N105" s="73"/>
      <c r="O105" s="73"/>
      <c r="P105" s="73"/>
      <c r="Q105" s="400"/>
      <c r="R105" s="425">
        <f t="shared" si="1"/>
        <v>0</v>
      </c>
      <c r="S105" s="31"/>
    </row>
    <row r="106" spans="3:19" ht="12" customHeight="1" x14ac:dyDescent="0.2">
      <c r="C106" s="13"/>
      <c r="D106" s="19">
        <f>'Revenue - Base year'!D107</f>
        <v>96</v>
      </c>
      <c r="E106" s="67" t="str">
        <f>IF(OR('Services - Base year'!E105="",'Services - Base year'!E105="[Enter service]"),"",'Services - Base year'!E105)</f>
        <v/>
      </c>
      <c r="F106" s="68" t="str">
        <f>IF(OR('Services - Base year'!F105="",'Services - Base year'!F105="[Select]"),"",'Services - Base year'!F105)</f>
        <v/>
      </c>
      <c r="G106" s="26"/>
      <c r="H106" s="73"/>
      <c r="I106" s="73"/>
      <c r="J106" s="73"/>
      <c r="K106" s="73"/>
      <c r="L106" s="73"/>
      <c r="M106" s="73"/>
      <c r="N106" s="73"/>
      <c r="O106" s="73"/>
      <c r="P106" s="73"/>
      <c r="Q106" s="400"/>
      <c r="R106" s="425">
        <f t="shared" si="1"/>
        <v>0</v>
      </c>
      <c r="S106" s="31"/>
    </row>
    <row r="107" spans="3:19" ht="12" customHeight="1" x14ac:dyDescent="0.2">
      <c r="C107" s="13"/>
      <c r="D107" s="19">
        <f>'Revenue - Base year'!D108</f>
        <v>97</v>
      </c>
      <c r="E107" s="67" t="str">
        <f>IF(OR('Services - Base year'!E106="",'Services - Base year'!E106="[Enter service]"),"",'Services - Base year'!E106)</f>
        <v/>
      </c>
      <c r="F107" s="68" t="str">
        <f>IF(OR('Services - Base year'!F106="",'Services - Base year'!F106="[Select]"),"",'Services - Base year'!F106)</f>
        <v/>
      </c>
      <c r="G107" s="26"/>
      <c r="H107" s="73"/>
      <c r="I107" s="73"/>
      <c r="J107" s="73"/>
      <c r="K107" s="73"/>
      <c r="L107" s="73"/>
      <c r="M107" s="73"/>
      <c r="N107" s="73"/>
      <c r="O107" s="73"/>
      <c r="P107" s="73"/>
      <c r="Q107" s="400"/>
      <c r="R107" s="425">
        <f t="shared" si="1"/>
        <v>0</v>
      </c>
      <c r="S107" s="31"/>
    </row>
    <row r="108" spans="3:19" ht="12" customHeight="1" x14ac:dyDescent="0.2">
      <c r="C108" s="13"/>
      <c r="D108" s="19">
        <f>'Revenue - Base year'!D109</f>
        <v>98</v>
      </c>
      <c r="E108" s="67" t="str">
        <f>IF(OR('Services - Base year'!E107="",'Services - Base year'!E107="[Enter service]"),"",'Services - Base year'!E107)</f>
        <v/>
      </c>
      <c r="F108" s="68" t="str">
        <f>IF(OR('Services - Base year'!F107="",'Services - Base year'!F107="[Select]"),"",'Services - Base year'!F107)</f>
        <v/>
      </c>
      <c r="G108" s="26"/>
      <c r="H108" s="73"/>
      <c r="I108" s="73"/>
      <c r="J108" s="73"/>
      <c r="K108" s="73"/>
      <c r="L108" s="73"/>
      <c r="M108" s="73"/>
      <c r="N108" s="73"/>
      <c r="O108" s="73"/>
      <c r="P108" s="73"/>
      <c r="Q108" s="400"/>
      <c r="R108" s="425">
        <f t="shared" si="1"/>
        <v>0</v>
      </c>
      <c r="S108" s="31"/>
    </row>
    <row r="109" spans="3:19" ht="12" customHeight="1" x14ac:dyDescent="0.2">
      <c r="C109" s="13"/>
      <c r="D109" s="19">
        <f>'Revenue - Base year'!D110</f>
        <v>99</v>
      </c>
      <c r="E109" s="67" t="str">
        <f>IF(OR('Services - Base year'!E108="",'Services - Base year'!E108="[Enter service]"),"",'Services - Base year'!E108)</f>
        <v/>
      </c>
      <c r="F109" s="68" t="str">
        <f>IF(OR('Services - Base year'!F108="",'Services - Base year'!F108="[Select]"),"",'Services - Base year'!F108)</f>
        <v/>
      </c>
      <c r="G109" s="26"/>
      <c r="H109" s="73"/>
      <c r="I109" s="73"/>
      <c r="J109" s="73"/>
      <c r="K109" s="73"/>
      <c r="L109" s="73"/>
      <c r="M109" s="73"/>
      <c r="N109" s="73"/>
      <c r="O109" s="73"/>
      <c r="P109" s="73"/>
      <c r="Q109" s="400"/>
      <c r="R109" s="425">
        <f t="shared" si="1"/>
        <v>0</v>
      </c>
      <c r="S109" s="31"/>
    </row>
    <row r="110" spans="3:19" ht="12" customHeight="1" x14ac:dyDescent="0.2">
      <c r="C110" s="13"/>
      <c r="D110" s="19">
        <f>'Revenue - Base year'!D111</f>
        <v>100</v>
      </c>
      <c r="E110" s="67" t="str">
        <f>IF(OR('Services - Base year'!E109="",'Services - Base year'!E109="[Enter service]"),"",'Services - Base year'!E109)</f>
        <v/>
      </c>
      <c r="F110" s="68" t="str">
        <f>IF(OR('Services - Base year'!F109="",'Services - Base year'!F109="[Select]"),"",'Services - Base year'!F109)</f>
        <v/>
      </c>
      <c r="G110" s="26"/>
      <c r="H110" s="73"/>
      <c r="I110" s="73"/>
      <c r="J110" s="73"/>
      <c r="K110" s="73"/>
      <c r="L110" s="73"/>
      <c r="M110" s="73"/>
      <c r="N110" s="73"/>
      <c r="O110" s="73"/>
      <c r="P110" s="73"/>
      <c r="Q110" s="400"/>
      <c r="R110" s="425">
        <f t="shared" si="1"/>
        <v>0</v>
      </c>
      <c r="S110" s="31"/>
    </row>
    <row r="111" spans="3:19" ht="12" customHeight="1" x14ac:dyDescent="0.2">
      <c r="C111" s="13"/>
      <c r="D111" s="19">
        <f>'Revenue - Base year'!D112</f>
        <v>101</v>
      </c>
      <c r="E111" s="67" t="str">
        <f>IF(OR('Services - Base year'!E110="",'Services - Base year'!E110="[Enter service]"),"",'Services - Base year'!E110)</f>
        <v/>
      </c>
      <c r="F111" s="68" t="str">
        <f>IF(OR('Services - Base year'!F110="",'Services - Base year'!F110="[Select]"),"",'Services - Base year'!F110)</f>
        <v/>
      </c>
      <c r="G111" s="26"/>
      <c r="H111" s="73"/>
      <c r="I111" s="73"/>
      <c r="J111" s="73"/>
      <c r="K111" s="73"/>
      <c r="L111" s="73"/>
      <c r="M111" s="73"/>
      <c r="N111" s="73"/>
      <c r="O111" s="73"/>
      <c r="P111" s="73"/>
      <c r="Q111" s="400"/>
      <c r="R111" s="425">
        <f t="shared" si="1"/>
        <v>0</v>
      </c>
      <c r="S111" s="31"/>
    </row>
    <row r="112" spans="3:19" ht="12" customHeight="1" x14ac:dyDescent="0.2">
      <c r="C112" s="13"/>
      <c r="D112" s="19">
        <f>'Revenue - Base year'!D113</f>
        <v>102</v>
      </c>
      <c r="E112" s="67" t="str">
        <f>IF(OR('Services - Base year'!E111="",'Services - Base year'!E111="[Enter service]"),"",'Services - Base year'!E111)</f>
        <v/>
      </c>
      <c r="F112" s="68" t="str">
        <f>IF(OR('Services - Base year'!F111="",'Services - Base year'!F111="[Select]"),"",'Services - Base year'!F111)</f>
        <v/>
      </c>
      <c r="G112" s="26"/>
      <c r="H112" s="73"/>
      <c r="I112" s="73"/>
      <c r="J112" s="73"/>
      <c r="K112" s="73"/>
      <c r="L112" s="73"/>
      <c r="M112" s="73"/>
      <c r="N112" s="73"/>
      <c r="O112" s="73"/>
      <c r="P112" s="73"/>
      <c r="Q112" s="400"/>
      <c r="R112" s="425">
        <f t="shared" si="1"/>
        <v>0</v>
      </c>
      <c r="S112" s="31"/>
    </row>
    <row r="113" spans="3:19" ht="12" customHeight="1" x14ac:dyDescent="0.2">
      <c r="C113" s="13"/>
      <c r="D113" s="19">
        <f>'Revenue - Base year'!D114</f>
        <v>103</v>
      </c>
      <c r="E113" s="67" t="str">
        <f>IF(OR('Services - Base year'!E112="",'Services - Base year'!E112="[Enter service]"),"",'Services - Base year'!E112)</f>
        <v/>
      </c>
      <c r="F113" s="68" t="str">
        <f>IF(OR('Services - Base year'!F112="",'Services - Base year'!F112="[Select]"),"",'Services - Base year'!F112)</f>
        <v/>
      </c>
      <c r="G113" s="26"/>
      <c r="H113" s="73"/>
      <c r="I113" s="73"/>
      <c r="J113" s="73"/>
      <c r="K113" s="73"/>
      <c r="L113" s="73"/>
      <c r="M113" s="73"/>
      <c r="N113" s="73"/>
      <c r="O113" s="73"/>
      <c r="P113" s="73"/>
      <c r="Q113" s="400"/>
      <c r="R113" s="425">
        <f t="shared" si="1"/>
        <v>0</v>
      </c>
      <c r="S113" s="31"/>
    </row>
    <row r="114" spans="3:19" ht="12" customHeight="1" x14ac:dyDescent="0.2">
      <c r="C114" s="13"/>
      <c r="D114" s="19">
        <f>'Revenue - Base year'!D115</f>
        <v>104</v>
      </c>
      <c r="E114" s="67" t="str">
        <f>IF(OR('Services - Base year'!E113="",'Services - Base year'!E113="[Enter service]"),"",'Services - Base year'!E113)</f>
        <v/>
      </c>
      <c r="F114" s="68" t="str">
        <f>IF(OR('Services - Base year'!F113="",'Services - Base year'!F113="[Select]"),"",'Services - Base year'!F113)</f>
        <v/>
      </c>
      <c r="G114" s="26"/>
      <c r="H114" s="73"/>
      <c r="I114" s="73"/>
      <c r="J114" s="73"/>
      <c r="K114" s="73"/>
      <c r="L114" s="73"/>
      <c r="M114" s="73"/>
      <c r="N114" s="73"/>
      <c r="O114" s="73"/>
      <c r="P114" s="73"/>
      <c r="Q114" s="400"/>
      <c r="R114" s="425">
        <f t="shared" si="1"/>
        <v>0</v>
      </c>
      <c r="S114" s="31"/>
    </row>
    <row r="115" spans="3:19" ht="12" customHeight="1" x14ac:dyDescent="0.2">
      <c r="C115" s="13"/>
      <c r="D115" s="19">
        <f>'Revenue - Base year'!D116</f>
        <v>105</v>
      </c>
      <c r="E115" s="67" t="str">
        <f>IF(OR('Services - Base year'!E114="",'Services - Base year'!E114="[Enter service]"),"",'Services - Base year'!E114)</f>
        <v/>
      </c>
      <c r="F115" s="68" t="str">
        <f>IF(OR('Services - Base year'!F114="",'Services - Base year'!F114="[Select]"),"",'Services - Base year'!F114)</f>
        <v/>
      </c>
      <c r="G115" s="26"/>
      <c r="H115" s="73"/>
      <c r="I115" s="73"/>
      <c r="J115" s="73"/>
      <c r="K115" s="73"/>
      <c r="L115" s="73"/>
      <c r="M115" s="73"/>
      <c r="N115" s="73"/>
      <c r="O115" s="73"/>
      <c r="P115" s="73"/>
      <c r="Q115" s="400"/>
      <c r="R115" s="425">
        <f t="shared" si="1"/>
        <v>0</v>
      </c>
      <c r="S115" s="31"/>
    </row>
    <row r="116" spans="3:19" ht="12" customHeight="1" x14ac:dyDescent="0.2">
      <c r="C116" s="13"/>
      <c r="D116" s="19">
        <f>'Revenue - Base year'!D117</f>
        <v>106</v>
      </c>
      <c r="E116" s="67" t="str">
        <f>IF(OR('Services - Base year'!E115="",'Services - Base year'!E115="[Enter service]"),"",'Services - Base year'!E115)</f>
        <v/>
      </c>
      <c r="F116" s="68" t="str">
        <f>IF(OR('Services - Base year'!F115="",'Services - Base year'!F115="[Select]"),"",'Services - Base year'!F115)</f>
        <v/>
      </c>
      <c r="G116" s="26"/>
      <c r="H116" s="73"/>
      <c r="I116" s="73"/>
      <c r="J116" s="73"/>
      <c r="K116" s="73"/>
      <c r="L116" s="73"/>
      <c r="M116" s="73"/>
      <c r="N116" s="73"/>
      <c r="O116" s="73"/>
      <c r="P116" s="73"/>
      <c r="Q116" s="400"/>
      <c r="R116" s="425">
        <f t="shared" si="1"/>
        <v>0</v>
      </c>
      <c r="S116" s="31"/>
    </row>
    <row r="117" spans="3:19" ht="12" customHeight="1" x14ac:dyDescent="0.2">
      <c r="C117" s="13"/>
      <c r="D117" s="19">
        <f>'Revenue - Base year'!D118</f>
        <v>107</v>
      </c>
      <c r="E117" s="67" t="str">
        <f>IF(OR('Services - Base year'!E116="",'Services - Base year'!E116="[Enter service]"),"",'Services - Base year'!E116)</f>
        <v/>
      </c>
      <c r="F117" s="68" t="str">
        <f>IF(OR('Services - Base year'!F116="",'Services - Base year'!F116="[Select]"),"",'Services - Base year'!F116)</f>
        <v/>
      </c>
      <c r="G117" s="26"/>
      <c r="H117" s="73"/>
      <c r="I117" s="73"/>
      <c r="J117" s="73"/>
      <c r="K117" s="73"/>
      <c r="L117" s="73"/>
      <c r="M117" s="73"/>
      <c r="N117" s="73"/>
      <c r="O117" s="73"/>
      <c r="P117" s="73"/>
      <c r="Q117" s="400"/>
      <c r="R117" s="425">
        <f t="shared" si="1"/>
        <v>0</v>
      </c>
      <c r="S117" s="31"/>
    </row>
    <row r="118" spans="3:19" ht="12" customHeight="1" x14ac:dyDescent="0.2">
      <c r="C118" s="13"/>
      <c r="D118" s="19">
        <f>'Revenue - Base year'!D119</f>
        <v>108</v>
      </c>
      <c r="E118" s="67" t="str">
        <f>IF(OR('Services - Base year'!E117="",'Services - Base year'!E117="[Enter service]"),"",'Services - Base year'!E117)</f>
        <v/>
      </c>
      <c r="F118" s="68" t="str">
        <f>IF(OR('Services - Base year'!F117="",'Services - Base year'!F117="[Select]"),"",'Services - Base year'!F117)</f>
        <v/>
      </c>
      <c r="G118" s="26"/>
      <c r="H118" s="73"/>
      <c r="I118" s="73"/>
      <c r="J118" s="73"/>
      <c r="K118" s="73"/>
      <c r="L118" s="73"/>
      <c r="M118" s="73"/>
      <c r="N118" s="73"/>
      <c r="O118" s="73"/>
      <c r="P118" s="73"/>
      <c r="Q118" s="400"/>
      <c r="R118" s="425">
        <f t="shared" si="1"/>
        <v>0</v>
      </c>
      <c r="S118" s="31"/>
    </row>
    <row r="119" spans="3:19" ht="12" customHeight="1" x14ac:dyDescent="0.2">
      <c r="C119" s="13"/>
      <c r="D119" s="19">
        <f>'Revenue - Base year'!D120</f>
        <v>109</v>
      </c>
      <c r="E119" s="67" t="str">
        <f>IF(OR('Services - Base year'!E118="",'Services - Base year'!E118="[Enter service]"),"",'Services - Base year'!E118)</f>
        <v/>
      </c>
      <c r="F119" s="68" t="str">
        <f>IF(OR('Services - Base year'!F118="",'Services - Base year'!F118="[Select]"),"",'Services - Base year'!F118)</f>
        <v/>
      </c>
      <c r="G119" s="26"/>
      <c r="H119" s="73"/>
      <c r="I119" s="73"/>
      <c r="J119" s="73"/>
      <c r="K119" s="73"/>
      <c r="L119" s="73"/>
      <c r="M119" s="73"/>
      <c r="N119" s="73"/>
      <c r="O119" s="73"/>
      <c r="P119" s="73"/>
      <c r="Q119" s="400"/>
      <c r="R119" s="425">
        <f t="shared" si="1"/>
        <v>0</v>
      </c>
      <c r="S119" s="31"/>
    </row>
    <row r="120" spans="3:19" ht="12" customHeight="1" x14ac:dyDescent="0.2">
      <c r="C120" s="13"/>
      <c r="D120" s="19">
        <f>'Revenue - Base year'!D121</f>
        <v>110</v>
      </c>
      <c r="E120" s="67" t="str">
        <f>IF(OR('Services - Base year'!E119="",'Services - Base year'!E119="[Enter service]"),"",'Services - Base year'!E119)</f>
        <v/>
      </c>
      <c r="F120" s="68" t="str">
        <f>IF(OR('Services - Base year'!F119="",'Services - Base year'!F119="[Select]"),"",'Services - Base year'!F119)</f>
        <v/>
      </c>
      <c r="G120" s="26"/>
      <c r="H120" s="73"/>
      <c r="I120" s="73"/>
      <c r="J120" s="73"/>
      <c r="K120" s="73"/>
      <c r="L120" s="73"/>
      <c r="M120" s="73"/>
      <c r="N120" s="73"/>
      <c r="O120" s="73"/>
      <c r="P120" s="73"/>
      <c r="Q120" s="400"/>
      <c r="R120" s="425">
        <f t="shared" si="1"/>
        <v>0</v>
      </c>
      <c r="S120" s="31"/>
    </row>
    <row r="121" spans="3:19" ht="12" customHeight="1" x14ac:dyDescent="0.2">
      <c r="C121" s="13"/>
      <c r="D121" s="19">
        <f>'Revenue - Base year'!D122</f>
        <v>111</v>
      </c>
      <c r="E121" s="67" t="str">
        <f>IF(OR('Services - Base year'!E120="",'Services - Base year'!E120="[Enter service]"),"",'Services - Base year'!E120)</f>
        <v/>
      </c>
      <c r="F121" s="68" t="str">
        <f>IF(OR('Services - Base year'!F120="",'Services - Base year'!F120="[Select]"),"",'Services - Base year'!F120)</f>
        <v/>
      </c>
      <c r="G121" s="26"/>
      <c r="H121" s="73"/>
      <c r="I121" s="73"/>
      <c r="J121" s="73"/>
      <c r="K121" s="73"/>
      <c r="L121" s="73"/>
      <c r="M121" s="73"/>
      <c r="N121" s="73"/>
      <c r="O121" s="73"/>
      <c r="P121" s="73"/>
      <c r="Q121" s="400"/>
      <c r="R121" s="425">
        <f t="shared" si="1"/>
        <v>0</v>
      </c>
      <c r="S121" s="31"/>
    </row>
    <row r="122" spans="3:19" ht="12" customHeight="1" x14ac:dyDescent="0.2">
      <c r="C122" s="13"/>
      <c r="D122" s="19">
        <f>'Revenue - Base year'!D123</f>
        <v>112</v>
      </c>
      <c r="E122" s="67" t="str">
        <f>IF(OR('Services - Base year'!E121="",'Services - Base year'!E121="[Enter service]"),"",'Services - Base year'!E121)</f>
        <v/>
      </c>
      <c r="F122" s="68" t="str">
        <f>IF(OR('Services - Base year'!F121="",'Services - Base year'!F121="[Select]"),"",'Services - Base year'!F121)</f>
        <v/>
      </c>
      <c r="G122" s="26"/>
      <c r="H122" s="73"/>
      <c r="I122" s="73"/>
      <c r="J122" s="73"/>
      <c r="K122" s="73"/>
      <c r="L122" s="73"/>
      <c r="M122" s="73"/>
      <c r="N122" s="73"/>
      <c r="O122" s="73"/>
      <c r="P122" s="73"/>
      <c r="Q122" s="400"/>
      <c r="R122" s="425">
        <f t="shared" si="1"/>
        <v>0</v>
      </c>
      <c r="S122" s="31"/>
    </row>
    <row r="123" spans="3:19" ht="12" customHeight="1" x14ac:dyDescent="0.2">
      <c r="C123" s="13"/>
      <c r="D123" s="19">
        <f>'Revenue - Base year'!D124</f>
        <v>113</v>
      </c>
      <c r="E123" s="67" t="str">
        <f>IF(OR('Services - Base year'!E122="",'Services - Base year'!E122="[Enter service]"),"",'Services - Base year'!E122)</f>
        <v/>
      </c>
      <c r="F123" s="68" t="str">
        <f>IF(OR('Services - Base year'!F122="",'Services - Base year'!F122="[Select]"),"",'Services - Base year'!F122)</f>
        <v/>
      </c>
      <c r="G123" s="26"/>
      <c r="H123" s="73"/>
      <c r="I123" s="73"/>
      <c r="J123" s="73"/>
      <c r="K123" s="73"/>
      <c r="L123" s="73"/>
      <c r="M123" s="73"/>
      <c r="N123" s="73"/>
      <c r="O123" s="73"/>
      <c r="P123" s="73"/>
      <c r="Q123" s="400"/>
      <c r="R123" s="425">
        <f t="shared" si="1"/>
        <v>0</v>
      </c>
      <c r="S123" s="31"/>
    </row>
    <row r="124" spans="3:19" ht="12" customHeight="1" x14ac:dyDescent="0.2">
      <c r="C124" s="13"/>
      <c r="D124" s="19">
        <f>'Revenue - Base year'!D125</f>
        <v>114</v>
      </c>
      <c r="E124" s="67" t="str">
        <f>IF(OR('Services - Base year'!E123="",'Services - Base year'!E123="[Enter service]"),"",'Services - Base year'!E123)</f>
        <v/>
      </c>
      <c r="F124" s="68" t="str">
        <f>IF(OR('Services - Base year'!F123="",'Services - Base year'!F123="[Select]"),"",'Services - Base year'!F123)</f>
        <v/>
      </c>
      <c r="G124" s="26"/>
      <c r="H124" s="73"/>
      <c r="I124" s="73"/>
      <c r="J124" s="73"/>
      <c r="K124" s="73"/>
      <c r="L124" s="73"/>
      <c r="M124" s="73"/>
      <c r="N124" s="73"/>
      <c r="O124" s="73"/>
      <c r="P124" s="73"/>
      <c r="Q124" s="400"/>
      <c r="R124" s="425">
        <f t="shared" si="1"/>
        <v>0</v>
      </c>
      <c r="S124" s="31"/>
    </row>
    <row r="125" spans="3:19" ht="12" customHeight="1" x14ac:dyDescent="0.2">
      <c r="C125" s="13"/>
      <c r="D125" s="19">
        <f>'Revenue - Base year'!D126</f>
        <v>115</v>
      </c>
      <c r="E125" s="67" t="str">
        <f>IF(OR('Services - Base year'!E124="",'Services - Base year'!E124="[Enter service]"),"",'Services - Base year'!E124)</f>
        <v/>
      </c>
      <c r="F125" s="68" t="str">
        <f>IF(OR('Services - Base year'!F124="",'Services - Base year'!F124="[Select]"),"",'Services - Base year'!F124)</f>
        <v/>
      </c>
      <c r="G125" s="26"/>
      <c r="H125" s="73"/>
      <c r="I125" s="73"/>
      <c r="J125" s="73"/>
      <c r="K125" s="73"/>
      <c r="L125" s="73"/>
      <c r="M125" s="73"/>
      <c r="N125" s="73"/>
      <c r="O125" s="73"/>
      <c r="P125" s="73"/>
      <c r="Q125" s="400"/>
      <c r="R125" s="425">
        <f t="shared" si="1"/>
        <v>0</v>
      </c>
      <c r="S125" s="31"/>
    </row>
    <row r="126" spans="3:19" ht="12" customHeight="1" x14ac:dyDescent="0.2">
      <c r="C126" s="13"/>
      <c r="D126" s="19">
        <f>'Revenue - Base year'!D127</f>
        <v>116</v>
      </c>
      <c r="E126" s="67" t="str">
        <f>IF(OR('Services - Base year'!E125="",'Services - Base year'!E125="[Enter service]"),"",'Services - Base year'!E125)</f>
        <v/>
      </c>
      <c r="F126" s="68" t="str">
        <f>IF(OR('Services - Base year'!F125="",'Services - Base year'!F125="[Select]"),"",'Services - Base year'!F125)</f>
        <v/>
      </c>
      <c r="G126" s="26"/>
      <c r="H126" s="73"/>
      <c r="I126" s="73"/>
      <c r="J126" s="73"/>
      <c r="K126" s="73"/>
      <c r="L126" s="73"/>
      <c r="M126" s="73"/>
      <c r="N126" s="73"/>
      <c r="O126" s="73"/>
      <c r="P126" s="73"/>
      <c r="Q126" s="400"/>
      <c r="R126" s="425">
        <f t="shared" si="1"/>
        <v>0</v>
      </c>
      <c r="S126" s="31"/>
    </row>
    <row r="127" spans="3:19" ht="12" customHeight="1" x14ac:dyDescent="0.2">
      <c r="C127" s="13"/>
      <c r="D127" s="19">
        <f>'Revenue - Base year'!D128</f>
        <v>117</v>
      </c>
      <c r="E127" s="67" t="str">
        <f>IF(OR('Services - Base year'!E126="",'Services - Base year'!E126="[Enter service]"),"",'Services - Base year'!E126)</f>
        <v/>
      </c>
      <c r="F127" s="68" t="str">
        <f>IF(OR('Services - Base year'!F126="",'Services - Base year'!F126="[Select]"),"",'Services - Base year'!F126)</f>
        <v/>
      </c>
      <c r="G127" s="26"/>
      <c r="H127" s="73"/>
      <c r="I127" s="73"/>
      <c r="J127" s="73"/>
      <c r="K127" s="73"/>
      <c r="L127" s="73"/>
      <c r="M127" s="73"/>
      <c r="N127" s="73"/>
      <c r="O127" s="73"/>
      <c r="P127" s="73"/>
      <c r="Q127" s="400"/>
      <c r="R127" s="425">
        <f t="shared" si="1"/>
        <v>0</v>
      </c>
      <c r="S127" s="31"/>
    </row>
    <row r="128" spans="3:19" ht="12" customHeight="1" x14ac:dyDescent="0.2">
      <c r="C128" s="13"/>
      <c r="D128" s="19">
        <f>'Revenue - Base year'!D129</f>
        <v>118</v>
      </c>
      <c r="E128" s="67" t="str">
        <f>IF(OR('Services - Base year'!E127="",'Services - Base year'!E127="[Enter service]"),"",'Services - Base year'!E127)</f>
        <v/>
      </c>
      <c r="F128" s="68" t="str">
        <f>IF(OR('Services - Base year'!F127="",'Services - Base year'!F127="[Select]"),"",'Services - Base year'!F127)</f>
        <v/>
      </c>
      <c r="G128" s="26"/>
      <c r="H128" s="73"/>
      <c r="I128" s="73"/>
      <c r="J128" s="73"/>
      <c r="K128" s="73"/>
      <c r="L128" s="73"/>
      <c r="M128" s="73"/>
      <c r="N128" s="73"/>
      <c r="O128" s="73"/>
      <c r="P128" s="73"/>
      <c r="Q128" s="400"/>
      <c r="R128" s="425">
        <f t="shared" si="1"/>
        <v>0</v>
      </c>
      <c r="S128" s="31"/>
    </row>
    <row r="129" spans="3:19" ht="12" customHeight="1" x14ac:dyDescent="0.2">
      <c r="C129" s="13"/>
      <c r="D129" s="19">
        <f>'Revenue - Base year'!D130</f>
        <v>119</v>
      </c>
      <c r="E129" s="67" t="str">
        <f>IF(OR('Services - Base year'!E128="",'Services - Base year'!E128="[Enter service]"),"",'Services - Base year'!E128)</f>
        <v/>
      </c>
      <c r="F129" s="68" t="str">
        <f>IF(OR('Services - Base year'!F128="",'Services - Base year'!F128="[Select]"),"",'Services - Base year'!F128)</f>
        <v/>
      </c>
      <c r="G129" s="26"/>
      <c r="H129" s="73"/>
      <c r="I129" s="73"/>
      <c r="J129" s="73"/>
      <c r="K129" s="73"/>
      <c r="L129" s="73"/>
      <c r="M129" s="73"/>
      <c r="N129" s="73"/>
      <c r="O129" s="73"/>
      <c r="P129" s="73"/>
      <c r="Q129" s="400"/>
      <c r="R129" s="425">
        <f t="shared" si="1"/>
        <v>0</v>
      </c>
      <c r="S129" s="31"/>
    </row>
    <row r="130" spans="3:19" ht="12" customHeight="1" x14ac:dyDescent="0.2">
      <c r="C130" s="13"/>
      <c r="D130" s="19">
        <f>'Revenue - Base year'!D131</f>
        <v>120</v>
      </c>
      <c r="E130" s="67" t="str">
        <f>IF(OR('Services - Base year'!E129="",'Services - Base year'!E129="[Enter service]"),"",'Services - Base year'!E129)</f>
        <v/>
      </c>
      <c r="F130" s="68" t="str">
        <f>IF(OR('Services - Base year'!F129="",'Services - Base year'!F129="[Select]"),"",'Services - Base year'!F129)</f>
        <v/>
      </c>
      <c r="G130" s="26"/>
      <c r="H130" s="73"/>
      <c r="I130" s="73"/>
      <c r="J130" s="73"/>
      <c r="K130" s="73"/>
      <c r="L130" s="73"/>
      <c r="M130" s="73"/>
      <c r="N130" s="73"/>
      <c r="O130" s="73"/>
      <c r="P130" s="73"/>
      <c r="Q130" s="400"/>
      <c r="R130" s="425">
        <f t="shared" si="1"/>
        <v>0</v>
      </c>
      <c r="S130" s="31"/>
    </row>
    <row r="131" spans="3:19" ht="12" customHeight="1" x14ac:dyDescent="0.2">
      <c r="C131" s="13"/>
      <c r="D131" s="19">
        <f>'Revenue - Base year'!D132</f>
        <v>121</v>
      </c>
      <c r="E131" s="67" t="str">
        <f>IF(OR('Services - Base year'!E130="",'Services - Base year'!E130="[Enter service]"),"",'Services - Base year'!E130)</f>
        <v/>
      </c>
      <c r="F131" s="68" t="str">
        <f>IF(OR('Services - Base year'!F130="",'Services - Base year'!F130="[Select]"),"",'Services - Base year'!F130)</f>
        <v/>
      </c>
      <c r="G131" s="26"/>
      <c r="H131" s="73"/>
      <c r="I131" s="73"/>
      <c r="J131" s="73"/>
      <c r="K131" s="73"/>
      <c r="L131" s="73"/>
      <c r="M131" s="73"/>
      <c r="N131" s="73"/>
      <c r="O131" s="73"/>
      <c r="P131" s="73"/>
      <c r="Q131" s="400"/>
      <c r="R131" s="425">
        <f t="shared" si="1"/>
        <v>0</v>
      </c>
      <c r="S131" s="31"/>
    </row>
    <row r="132" spans="3:19" ht="12" customHeight="1" x14ac:dyDescent="0.2">
      <c r="C132" s="13"/>
      <c r="D132" s="19">
        <f>'Revenue - Base year'!D133</f>
        <v>122</v>
      </c>
      <c r="E132" s="67" t="str">
        <f>IF(OR('Services - Base year'!E131="",'Services - Base year'!E131="[Enter service]"),"",'Services - Base year'!E131)</f>
        <v/>
      </c>
      <c r="F132" s="68" t="str">
        <f>IF(OR('Services - Base year'!F131="",'Services - Base year'!F131="[Select]"),"",'Services - Base year'!F131)</f>
        <v/>
      </c>
      <c r="G132" s="26"/>
      <c r="H132" s="73"/>
      <c r="I132" s="73"/>
      <c r="J132" s="73"/>
      <c r="K132" s="73"/>
      <c r="L132" s="73"/>
      <c r="M132" s="73"/>
      <c r="N132" s="73"/>
      <c r="O132" s="73"/>
      <c r="P132" s="73"/>
      <c r="Q132" s="400"/>
      <c r="R132" s="425">
        <f t="shared" si="1"/>
        <v>0</v>
      </c>
      <c r="S132" s="31"/>
    </row>
    <row r="133" spans="3:19" ht="12" customHeight="1" x14ac:dyDescent="0.2">
      <c r="C133" s="13"/>
      <c r="D133" s="19">
        <f>'Revenue - Base year'!D134</f>
        <v>123</v>
      </c>
      <c r="E133" s="67" t="str">
        <f>IF(OR('Services - Base year'!E132="",'Services - Base year'!E132="[Enter service]"),"",'Services - Base year'!E132)</f>
        <v/>
      </c>
      <c r="F133" s="68" t="str">
        <f>IF(OR('Services - Base year'!F132="",'Services - Base year'!F132="[Select]"),"",'Services - Base year'!F132)</f>
        <v/>
      </c>
      <c r="G133" s="26"/>
      <c r="H133" s="73"/>
      <c r="I133" s="73"/>
      <c r="J133" s="73"/>
      <c r="K133" s="73"/>
      <c r="L133" s="73"/>
      <c r="M133" s="73"/>
      <c r="N133" s="73"/>
      <c r="O133" s="73"/>
      <c r="P133" s="73"/>
      <c r="Q133" s="400"/>
      <c r="R133" s="425">
        <f t="shared" si="1"/>
        <v>0</v>
      </c>
      <c r="S133" s="31"/>
    </row>
    <row r="134" spans="3:19" ht="12" customHeight="1" x14ac:dyDescent="0.2">
      <c r="C134" s="13"/>
      <c r="D134" s="19">
        <f>'Revenue - Base year'!D135</f>
        <v>124</v>
      </c>
      <c r="E134" s="67" t="str">
        <f>IF(OR('Services - Base year'!E133="",'Services - Base year'!E133="[Enter service]"),"",'Services - Base year'!E133)</f>
        <v/>
      </c>
      <c r="F134" s="68" t="str">
        <f>IF(OR('Services - Base year'!F133="",'Services - Base year'!F133="[Select]"),"",'Services - Base year'!F133)</f>
        <v/>
      </c>
      <c r="G134" s="26"/>
      <c r="H134" s="73"/>
      <c r="I134" s="73"/>
      <c r="J134" s="73"/>
      <c r="K134" s="73"/>
      <c r="L134" s="73"/>
      <c r="M134" s="73"/>
      <c r="N134" s="73"/>
      <c r="O134" s="73"/>
      <c r="P134" s="73"/>
      <c r="Q134" s="400"/>
      <c r="R134" s="425">
        <f t="shared" si="1"/>
        <v>0</v>
      </c>
      <c r="S134" s="31"/>
    </row>
    <row r="135" spans="3:19" ht="12" customHeight="1" x14ac:dyDescent="0.2">
      <c r="C135" s="13"/>
      <c r="D135" s="19">
        <f>'Revenue - Base year'!D136</f>
        <v>125</v>
      </c>
      <c r="E135" s="67" t="str">
        <f>IF(OR('Services - Base year'!E134="",'Services - Base year'!E134="[Enter service]"),"",'Services - Base year'!E134)</f>
        <v/>
      </c>
      <c r="F135" s="68" t="str">
        <f>IF(OR('Services - Base year'!F134="",'Services - Base year'!F134="[Select]"),"",'Services - Base year'!F134)</f>
        <v/>
      </c>
      <c r="G135" s="26"/>
      <c r="H135" s="73"/>
      <c r="I135" s="73"/>
      <c r="J135" s="73"/>
      <c r="K135" s="73"/>
      <c r="L135" s="73"/>
      <c r="M135" s="73"/>
      <c r="N135" s="73"/>
      <c r="O135" s="73"/>
      <c r="P135" s="73"/>
      <c r="Q135" s="400"/>
      <c r="R135" s="425">
        <f t="shared" si="1"/>
        <v>0</v>
      </c>
      <c r="S135" s="31"/>
    </row>
    <row r="136" spans="3:19" ht="12" customHeight="1" x14ac:dyDescent="0.2">
      <c r="C136" s="13"/>
      <c r="D136" s="19">
        <f>'Revenue - Base year'!D137</f>
        <v>126</v>
      </c>
      <c r="E136" s="67" t="str">
        <f>IF(OR('Services - Base year'!E135="",'Services - Base year'!E135="[Enter service]"),"",'Services - Base year'!E135)</f>
        <v/>
      </c>
      <c r="F136" s="68" t="str">
        <f>IF(OR('Services - Base year'!F135="",'Services - Base year'!F135="[Select]"),"",'Services - Base year'!F135)</f>
        <v/>
      </c>
      <c r="G136" s="26"/>
      <c r="H136" s="73"/>
      <c r="I136" s="73"/>
      <c r="J136" s="73"/>
      <c r="K136" s="73"/>
      <c r="L136" s="73"/>
      <c r="M136" s="73"/>
      <c r="N136" s="73"/>
      <c r="O136" s="73"/>
      <c r="P136" s="73"/>
      <c r="Q136" s="400"/>
      <c r="R136" s="425">
        <f t="shared" si="1"/>
        <v>0</v>
      </c>
      <c r="S136" s="31"/>
    </row>
    <row r="137" spans="3:19" ht="12" customHeight="1" x14ac:dyDescent="0.2">
      <c r="C137" s="13"/>
      <c r="D137" s="19">
        <f>'Revenue - Base year'!D138</f>
        <v>127</v>
      </c>
      <c r="E137" s="67" t="str">
        <f>IF(OR('Services - Base year'!E136="",'Services - Base year'!E136="[Enter service]"),"",'Services - Base year'!E136)</f>
        <v/>
      </c>
      <c r="F137" s="68" t="str">
        <f>IF(OR('Services - Base year'!F136="",'Services - Base year'!F136="[Select]"),"",'Services - Base year'!F136)</f>
        <v/>
      </c>
      <c r="G137" s="26"/>
      <c r="H137" s="73"/>
      <c r="I137" s="73"/>
      <c r="J137" s="73"/>
      <c r="K137" s="73"/>
      <c r="L137" s="73"/>
      <c r="M137" s="73"/>
      <c r="N137" s="73"/>
      <c r="O137" s="73"/>
      <c r="P137" s="73"/>
      <c r="Q137" s="400"/>
      <c r="R137" s="425">
        <f t="shared" si="1"/>
        <v>0</v>
      </c>
      <c r="S137" s="31"/>
    </row>
    <row r="138" spans="3:19" ht="12" customHeight="1" x14ac:dyDescent="0.2">
      <c r="C138" s="13"/>
      <c r="D138" s="19">
        <f>'Revenue - Base year'!D139</f>
        <v>128</v>
      </c>
      <c r="E138" s="67" t="str">
        <f>IF(OR('Services - Base year'!E137="",'Services - Base year'!E137="[Enter service]"),"",'Services - Base year'!E137)</f>
        <v/>
      </c>
      <c r="F138" s="68" t="str">
        <f>IF(OR('Services - Base year'!F137="",'Services - Base year'!F137="[Select]"),"",'Services - Base year'!F137)</f>
        <v/>
      </c>
      <c r="G138" s="26"/>
      <c r="H138" s="73"/>
      <c r="I138" s="73"/>
      <c r="J138" s="73"/>
      <c r="K138" s="73"/>
      <c r="L138" s="73"/>
      <c r="M138" s="73"/>
      <c r="N138" s="73"/>
      <c r="O138" s="73"/>
      <c r="P138" s="73"/>
      <c r="Q138" s="400"/>
      <c r="R138" s="425">
        <f t="shared" si="1"/>
        <v>0</v>
      </c>
      <c r="S138" s="31"/>
    </row>
    <row r="139" spans="3:19" ht="12" customHeight="1" x14ac:dyDescent="0.2">
      <c r="C139" s="13"/>
      <c r="D139" s="19">
        <f>'Revenue - Base year'!D140</f>
        <v>129</v>
      </c>
      <c r="E139" s="67" t="str">
        <f>IF(OR('Services - Base year'!E138="",'Services - Base year'!E138="[Enter service]"),"",'Services - Base year'!E138)</f>
        <v/>
      </c>
      <c r="F139" s="68" t="str">
        <f>IF(OR('Services - Base year'!F138="",'Services - Base year'!F138="[Select]"),"",'Services - Base year'!F138)</f>
        <v/>
      </c>
      <c r="G139" s="26"/>
      <c r="H139" s="73"/>
      <c r="I139" s="73"/>
      <c r="J139" s="73"/>
      <c r="K139" s="73"/>
      <c r="L139" s="73"/>
      <c r="M139" s="73"/>
      <c r="N139" s="73"/>
      <c r="O139" s="73"/>
      <c r="P139" s="73"/>
      <c r="Q139" s="400"/>
      <c r="R139" s="425">
        <f t="shared" si="1"/>
        <v>0</v>
      </c>
      <c r="S139" s="31"/>
    </row>
    <row r="140" spans="3:19" ht="12" customHeight="1" x14ac:dyDescent="0.2">
      <c r="C140" s="13"/>
      <c r="D140" s="19">
        <f>'Revenue - Base year'!D141</f>
        <v>130</v>
      </c>
      <c r="E140" s="67" t="str">
        <f>IF(OR('Services - Base year'!E139="",'Services - Base year'!E139="[Enter service]"),"",'Services - Base year'!E139)</f>
        <v/>
      </c>
      <c r="F140" s="68" t="str">
        <f>IF(OR('Services - Base year'!F139="",'Services - Base year'!F139="[Select]"),"",'Services - Base year'!F139)</f>
        <v/>
      </c>
      <c r="G140" s="26"/>
      <c r="H140" s="73"/>
      <c r="I140" s="73"/>
      <c r="J140" s="73"/>
      <c r="K140" s="73"/>
      <c r="L140" s="73"/>
      <c r="M140" s="73"/>
      <c r="N140" s="73"/>
      <c r="O140" s="73"/>
      <c r="P140" s="73"/>
      <c r="Q140" s="400"/>
      <c r="R140" s="425">
        <f t="shared" ref="R140:R151" si="2">SUM(H140:Q140)</f>
        <v>0</v>
      </c>
      <c r="S140" s="31"/>
    </row>
    <row r="141" spans="3:19" ht="12" customHeight="1" x14ac:dyDescent="0.2">
      <c r="C141" s="13"/>
      <c r="D141" s="19">
        <f>'Revenue - Base year'!D142</f>
        <v>131</v>
      </c>
      <c r="E141" s="67" t="str">
        <f>IF(OR('Services - Base year'!E140="",'Services - Base year'!E140="[Enter service]"),"",'Services - Base year'!E140)</f>
        <v/>
      </c>
      <c r="F141" s="68" t="str">
        <f>IF(OR('Services - Base year'!F140="",'Services - Base year'!F140="[Select]"),"",'Services - Base year'!F140)</f>
        <v/>
      </c>
      <c r="G141" s="26"/>
      <c r="H141" s="73"/>
      <c r="I141" s="73"/>
      <c r="J141" s="73"/>
      <c r="K141" s="73"/>
      <c r="L141" s="73"/>
      <c r="M141" s="73"/>
      <c r="N141" s="73"/>
      <c r="O141" s="73"/>
      <c r="P141" s="73"/>
      <c r="Q141" s="400"/>
      <c r="R141" s="425">
        <f t="shared" si="2"/>
        <v>0</v>
      </c>
      <c r="S141" s="31"/>
    </row>
    <row r="142" spans="3:19" ht="12" customHeight="1" x14ac:dyDescent="0.2">
      <c r="C142" s="13"/>
      <c r="D142" s="19">
        <f>'Revenue - Base year'!D143</f>
        <v>132</v>
      </c>
      <c r="E142" s="67" t="str">
        <f>IF(OR('Services - Base year'!E141="",'Services - Base year'!E141="[Enter service]"),"",'Services - Base year'!E141)</f>
        <v/>
      </c>
      <c r="F142" s="68" t="str">
        <f>IF(OR('Services - Base year'!F141="",'Services - Base year'!F141="[Select]"),"",'Services - Base year'!F141)</f>
        <v/>
      </c>
      <c r="G142" s="26"/>
      <c r="H142" s="73"/>
      <c r="I142" s="73"/>
      <c r="J142" s="73"/>
      <c r="K142" s="73"/>
      <c r="L142" s="73"/>
      <c r="M142" s="73"/>
      <c r="N142" s="73"/>
      <c r="O142" s="73"/>
      <c r="P142" s="73"/>
      <c r="Q142" s="400"/>
      <c r="R142" s="425">
        <f t="shared" si="2"/>
        <v>0</v>
      </c>
      <c r="S142" s="31"/>
    </row>
    <row r="143" spans="3:19" ht="12" customHeight="1" x14ac:dyDescent="0.2">
      <c r="C143" s="13"/>
      <c r="D143" s="19">
        <f>'Revenue - Base year'!D144</f>
        <v>133</v>
      </c>
      <c r="E143" s="67" t="str">
        <f>IF(OR('Services - Base year'!E142="",'Services - Base year'!E142="[Enter service]"),"",'Services - Base year'!E142)</f>
        <v/>
      </c>
      <c r="F143" s="68" t="str">
        <f>IF(OR('Services - Base year'!F142="",'Services - Base year'!F142="[Select]"),"",'Services - Base year'!F142)</f>
        <v/>
      </c>
      <c r="G143" s="26"/>
      <c r="H143" s="73"/>
      <c r="I143" s="73"/>
      <c r="J143" s="73"/>
      <c r="K143" s="73"/>
      <c r="L143" s="73"/>
      <c r="M143" s="73"/>
      <c r="N143" s="73"/>
      <c r="O143" s="73"/>
      <c r="P143" s="73"/>
      <c r="Q143" s="400"/>
      <c r="R143" s="425">
        <f t="shared" si="2"/>
        <v>0</v>
      </c>
      <c r="S143" s="31"/>
    </row>
    <row r="144" spans="3:19" ht="12" customHeight="1" x14ac:dyDescent="0.2">
      <c r="C144" s="13"/>
      <c r="D144" s="19">
        <f>'Revenue - Base year'!D145</f>
        <v>134</v>
      </c>
      <c r="E144" s="67" t="str">
        <f>IF(OR('Services - Base year'!E143="",'Services - Base year'!E143="[Enter service]"),"",'Services - Base year'!E143)</f>
        <v/>
      </c>
      <c r="F144" s="68" t="str">
        <f>IF(OR('Services - Base year'!F143="",'Services - Base year'!F143="[Select]"),"",'Services - Base year'!F143)</f>
        <v/>
      </c>
      <c r="G144" s="26"/>
      <c r="H144" s="73"/>
      <c r="I144" s="73"/>
      <c r="J144" s="73"/>
      <c r="K144" s="73"/>
      <c r="L144" s="73"/>
      <c r="M144" s="73"/>
      <c r="N144" s="73"/>
      <c r="O144" s="73"/>
      <c r="P144" s="73"/>
      <c r="Q144" s="400"/>
      <c r="R144" s="425">
        <f t="shared" si="2"/>
        <v>0</v>
      </c>
      <c r="S144" s="31"/>
    </row>
    <row r="145" spans="3:19" ht="12" customHeight="1" x14ac:dyDescent="0.2">
      <c r="C145" s="13"/>
      <c r="D145" s="19">
        <f>'Revenue - Base year'!D146</f>
        <v>135</v>
      </c>
      <c r="E145" s="67" t="str">
        <f>IF(OR('Services - Base year'!E144="",'Services - Base year'!E144="[Enter service]"),"",'Services - Base year'!E144)</f>
        <v/>
      </c>
      <c r="F145" s="68" t="str">
        <f>IF(OR('Services - Base year'!F144="",'Services - Base year'!F144="[Select]"),"",'Services - Base year'!F144)</f>
        <v/>
      </c>
      <c r="G145" s="26"/>
      <c r="H145" s="73"/>
      <c r="I145" s="73"/>
      <c r="J145" s="73"/>
      <c r="K145" s="73"/>
      <c r="L145" s="73"/>
      <c r="M145" s="73"/>
      <c r="N145" s="73"/>
      <c r="O145" s="73"/>
      <c r="P145" s="73"/>
      <c r="Q145" s="400"/>
      <c r="R145" s="425">
        <f t="shared" si="2"/>
        <v>0</v>
      </c>
      <c r="S145" s="31"/>
    </row>
    <row r="146" spans="3:19" ht="12" customHeight="1" x14ac:dyDescent="0.2">
      <c r="C146" s="13"/>
      <c r="D146" s="19">
        <f>'Revenue - Base year'!D147</f>
        <v>136</v>
      </c>
      <c r="E146" s="67" t="str">
        <f>IF(OR('Services - Base year'!E145="",'Services - Base year'!E145="[Enter service]"),"",'Services - Base year'!E145)</f>
        <v/>
      </c>
      <c r="F146" s="68" t="str">
        <f>IF(OR('Services - Base year'!F145="",'Services - Base year'!F145="[Select]"),"",'Services - Base year'!F145)</f>
        <v/>
      </c>
      <c r="G146" s="26"/>
      <c r="H146" s="73"/>
      <c r="I146" s="73"/>
      <c r="J146" s="73"/>
      <c r="K146" s="73"/>
      <c r="L146" s="73"/>
      <c r="M146" s="73"/>
      <c r="N146" s="73"/>
      <c r="O146" s="73"/>
      <c r="P146" s="73"/>
      <c r="Q146" s="400"/>
      <c r="R146" s="425">
        <f t="shared" si="2"/>
        <v>0</v>
      </c>
      <c r="S146" s="31"/>
    </row>
    <row r="147" spans="3:19" ht="12" customHeight="1" x14ac:dyDescent="0.2">
      <c r="C147" s="13"/>
      <c r="D147" s="19">
        <f>'Revenue - Base year'!D148</f>
        <v>137</v>
      </c>
      <c r="E147" s="67" t="str">
        <f>IF(OR('Services - Base year'!E146="",'Services - Base year'!E146="[Enter service]"),"",'Services - Base year'!E146)</f>
        <v/>
      </c>
      <c r="F147" s="68" t="str">
        <f>IF(OR('Services - Base year'!F146="",'Services - Base year'!F146="[Select]"),"",'Services - Base year'!F146)</f>
        <v/>
      </c>
      <c r="G147" s="26"/>
      <c r="H147" s="73"/>
      <c r="I147" s="73"/>
      <c r="J147" s="73"/>
      <c r="K147" s="73"/>
      <c r="L147" s="73"/>
      <c r="M147" s="73"/>
      <c r="N147" s="73"/>
      <c r="O147" s="73"/>
      <c r="P147" s="73"/>
      <c r="Q147" s="400"/>
      <c r="R147" s="425">
        <f t="shared" si="2"/>
        <v>0</v>
      </c>
      <c r="S147" s="31"/>
    </row>
    <row r="148" spans="3:19" ht="12" customHeight="1" x14ac:dyDescent="0.2">
      <c r="C148" s="13"/>
      <c r="D148" s="19">
        <f>'Revenue - Base year'!D149</f>
        <v>138</v>
      </c>
      <c r="E148" s="67" t="str">
        <f>IF(OR('Services - Base year'!E147="",'Services - Base year'!E147="[Enter service]"),"",'Services - Base year'!E147)</f>
        <v/>
      </c>
      <c r="F148" s="68" t="str">
        <f>IF(OR('Services - Base year'!F147="",'Services - Base year'!F147="[Select]"),"",'Services - Base year'!F147)</f>
        <v/>
      </c>
      <c r="G148" s="26"/>
      <c r="H148" s="73"/>
      <c r="I148" s="73"/>
      <c r="J148" s="73"/>
      <c r="K148" s="73"/>
      <c r="L148" s="73"/>
      <c r="M148" s="73"/>
      <c r="N148" s="73"/>
      <c r="O148" s="73"/>
      <c r="P148" s="73"/>
      <c r="Q148" s="400"/>
      <c r="R148" s="425">
        <f t="shared" si="2"/>
        <v>0</v>
      </c>
      <c r="S148" s="31"/>
    </row>
    <row r="149" spans="3:19" ht="12" customHeight="1" x14ac:dyDescent="0.2">
      <c r="C149" s="13"/>
      <c r="D149" s="19">
        <f>'Revenue - Base year'!D150</f>
        <v>139</v>
      </c>
      <c r="E149" s="67" t="str">
        <f>IF(OR('Services - Base year'!E148="",'Services - Base year'!E148="[Enter service]"),"",'Services - Base year'!E148)</f>
        <v/>
      </c>
      <c r="F149" s="68" t="str">
        <f>IF(OR('Services - Base year'!F148="",'Services - Base year'!F148="[Select]"),"",'Services - Base year'!F148)</f>
        <v/>
      </c>
      <c r="G149" s="26"/>
      <c r="H149" s="73"/>
      <c r="I149" s="73"/>
      <c r="J149" s="73"/>
      <c r="K149" s="73"/>
      <c r="L149" s="73"/>
      <c r="M149" s="73"/>
      <c r="N149" s="73"/>
      <c r="O149" s="73"/>
      <c r="P149" s="73"/>
      <c r="Q149" s="400"/>
      <c r="R149" s="425">
        <f t="shared" si="2"/>
        <v>0</v>
      </c>
      <c r="S149" s="31"/>
    </row>
    <row r="150" spans="3:19" ht="12" customHeight="1" x14ac:dyDescent="0.2">
      <c r="C150" s="13"/>
      <c r="D150" s="19">
        <f>'Revenue - Base year'!D151</f>
        <v>140</v>
      </c>
      <c r="E150" s="67" t="str">
        <f>IF(OR('Services - Base year'!E149="",'Services - Base year'!E149="[Enter service]"),"",'Services - Base year'!E149)</f>
        <v/>
      </c>
      <c r="F150" s="68" t="str">
        <f>IF(OR('Services - Base year'!F149="",'Services - Base year'!F149="[Select]"),"",'Services - Base year'!F149)</f>
        <v/>
      </c>
      <c r="G150" s="26"/>
      <c r="H150" s="73"/>
      <c r="I150" s="73"/>
      <c r="J150" s="73"/>
      <c r="K150" s="73"/>
      <c r="L150" s="73"/>
      <c r="M150" s="73"/>
      <c r="N150" s="73"/>
      <c r="O150" s="73"/>
      <c r="P150" s="73"/>
      <c r="Q150" s="400"/>
      <c r="R150" s="425">
        <f t="shared" si="2"/>
        <v>0</v>
      </c>
      <c r="S150" s="31"/>
    </row>
    <row r="151" spans="3:19" ht="12" customHeight="1" thickBot="1" x14ac:dyDescent="0.25">
      <c r="C151" s="13"/>
      <c r="D151" s="19"/>
      <c r="E151" s="75" t="s">
        <v>88</v>
      </c>
      <c r="F151" s="76"/>
      <c r="G151" s="26"/>
      <c r="H151" s="77"/>
      <c r="I151" s="77"/>
      <c r="J151" s="77"/>
      <c r="K151" s="77"/>
      <c r="L151" s="77"/>
      <c r="M151" s="77"/>
      <c r="N151" s="77"/>
      <c r="O151" s="77"/>
      <c r="P151" s="77"/>
      <c r="Q151" s="77"/>
      <c r="R151" s="425">
        <f t="shared" si="2"/>
        <v>0</v>
      </c>
      <c r="S151" s="31"/>
    </row>
    <row r="152" spans="3:19" ht="12" customHeight="1" thickTop="1" x14ac:dyDescent="0.2">
      <c r="C152" s="13"/>
      <c r="D152" s="14"/>
      <c r="E152" s="50" t="s">
        <v>87</v>
      </c>
      <c r="F152" s="51"/>
      <c r="G152" s="26"/>
      <c r="H152" s="426">
        <f t="shared" ref="H152:Q152" si="3">+SUM(H11:H151)</f>
        <v>3846800</v>
      </c>
      <c r="I152" s="426">
        <f t="shared" si="3"/>
        <v>5070564.7176363636</v>
      </c>
      <c r="J152" s="426">
        <f t="shared" si="3"/>
        <v>3000</v>
      </c>
      <c r="K152" s="426">
        <f t="shared" si="3"/>
        <v>1121233.8436</v>
      </c>
      <c r="L152" s="426">
        <f t="shared" si="3"/>
        <v>0</v>
      </c>
      <c r="M152" s="426">
        <f t="shared" si="3"/>
        <v>10424.030000000001</v>
      </c>
      <c r="N152" s="426">
        <f t="shared" si="3"/>
        <v>229078.61</v>
      </c>
      <c r="O152" s="426">
        <f t="shared" si="3"/>
        <v>0</v>
      </c>
      <c r="P152" s="426">
        <f t="shared" si="3"/>
        <v>0</v>
      </c>
      <c r="Q152" s="426">
        <f t="shared" si="3"/>
        <v>0</v>
      </c>
      <c r="R152" s="427">
        <f>SUM(H152:Q152)</f>
        <v>10281101.201236362</v>
      </c>
      <c r="S152" s="31"/>
    </row>
    <row r="153" spans="3:19" ht="12.6" customHeight="1" thickBot="1" x14ac:dyDescent="0.25">
      <c r="C153" s="32"/>
      <c r="D153" s="33"/>
      <c r="E153" s="34"/>
      <c r="F153" s="35"/>
      <c r="G153" s="120"/>
      <c r="H153" s="33"/>
      <c r="I153" s="36"/>
      <c r="J153" s="397"/>
      <c r="K153" s="36"/>
      <c r="L153" s="397"/>
      <c r="M153" s="397"/>
      <c r="N153" s="36"/>
      <c r="O153" s="36"/>
      <c r="P153" s="36"/>
      <c r="Q153" s="36"/>
      <c r="R153" s="36"/>
      <c r="S153" s="48"/>
    </row>
    <row r="154" spans="3:19" x14ac:dyDescent="0.2">
      <c r="F154" s="6"/>
      <c r="G154" s="6"/>
      <c r="N154" s="38"/>
      <c r="O154" s="38"/>
      <c r="P154" s="38"/>
      <c r="Q154" s="38"/>
      <c r="R154" s="38"/>
    </row>
    <row r="155" spans="3:19" x14ac:dyDescent="0.2">
      <c r="F155" s="6"/>
      <c r="G155" s="6"/>
    </row>
    <row r="156" spans="3:19" ht="13.5" thickBot="1" x14ac:dyDescent="0.25">
      <c r="F156" s="6"/>
      <c r="G156" s="6"/>
    </row>
    <row r="157" spans="3:19" x14ac:dyDescent="0.2">
      <c r="C157" s="319"/>
      <c r="D157" s="320"/>
      <c r="E157" s="320"/>
      <c r="F157" s="297"/>
      <c r="G157" s="297"/>
      <c r="H157" s="298"/>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302" t="s">
        <v>211</v>
      </c>
      <c r="F160" s="303"/>
      <c r="G160" s="304"/>
      <c r="H160" s="31"/>
    </row>
    <row r="161" spans="3:8" x14ac:dyDescent="0.2">
      <c r="C161" s="13"/>
      <c r="D161" s="14"/>
      <c r="E161" s="302" t="s">
        <v>211</v>
      </c>
      <c r="F161" s="303"/>
      <c r="G161" s="304"/>
      <c r="H161" s="31"/>
    </row>
    <row r="162" spans="3:8" x14ac:dyDescent="0.2">
      <c r="C162" s="13"/>
      <c r="D162" s="14"/>
      <c r="E162" s="302" t="s">
        <v>211</v>
      </c>
      <c r="F162" s="303"/>
      <c r="G162" s="304"/>
      <c r="H162" s="31"/>
    </row>
    <row r="163" spans="3:8" x14ac:dyDescent="0.2">
      <c r="C163" s="13"/>
      <c r="D163" s="14"/>
      <c r="E163" s="302" t="s">
        <v>211</v>
      </c>
      <c r="F163" s="303"/>
      <c r="G163" s="304"/>
      <c r="H163" s="31"/>
    </row>
    <row r="164" spans="3:8" x14ac:dyDescent="0.2">
      <c r="C164" s="13"/>
      <c r="D164" s="14"/>
      <c r="E164" s="302" t="s">
        <v>211</v>
      </c>
      <c r="F164" s="303"/>
      <c r="G164" s="304"/>
      <c r="H164" s="31"/>
    </row>
    <row r="165" spans="3:8" x14ac:dyDescent="0.2">
      <c r="C165" s="13"/>
      <c r="D165" s="14"/>
      <c r="E165" s="302" t="s">
        <v>211</v>
      </c>
      <c r="F165" s="303"/>
      <c r="G165" s="304"/>
      <c r="H165" s="31"/>
    </row>
    <row r="166" spans="3:8" x14ac:dyDescent="0.2">
      <c r="C166" s="13"/>
      <c r="D166" s="14"/>
      <c r="E166" s="302" t="s">
        <v>211</v>
      </c>
      <c r="F166" s="303"/>
      <c r="G166" s="304"/>
      <c r="H166" s="31"/>
    </row>
    <row r="167" spans="3:8" x14ac:dyDescent="0.2">
      <c r="C167" s="13"/>
      <c r="D167" s="14"/>
      <c r="E167" s="302" t="s">
        <v>211</v>
      </c>
      <c r="F167" s="303"/>
      <c r="G167" s="304"/>
      <c r="H167" s="31"/>
    </row>
    <row r="168" spans="3:8" x14ac:dyDescent="0.2">
      <c r="C168" s="13"/>
      <c r="D168" s="14"/>
      <c r="E168" s="302" t="s">
        <v>211</v>
      </c>
      <c r="F168" s="303"/>
      <c r="G168" s="304"/>
      <c r="H168" s="31"/>
    </row>
    <row r="169" spans="3:8" x14ac:dyDescent="0.2">
      <c r="C169" s="13"/>
      <c r="D169" s="14"/>
      <c r="E169" s="302" t="s">
        <v>211</v>
      </c>
      <c r="F169" s="303"/>
      <c r="G169" s="304"/>
      <c r="H169" s="31"/>
    </row>
    <row r="170" spans="3:8" x14ac:dyDescent="0.2">
      <c r="C170" s="13"/>
      <c r="D170" s="14"/>
      <c r="E170" s="302" t="s">
        <v>211</v>
      </c>
      <c r="F170" s="303"/>
      <c r="G170" s="304"/>
      <c r="H170" s="31"/>
    </row>
    <row r="171" spans="3:8" x14ac:dyDescent="0.2">
      <c r="C171" s="13"/>
      <c r="D171" s="14"/>
      <c r="E171" s="302" t="s">
        <v>211</v>
      </c>
      <c r="F171" s="303"/>
      <c r="G171" s="304"/>
      <c r="H171" s="31"/>
    </row>
    <row r="172" spans="3:8" x14ac:dyDescent="0.2">
      <c r="C172" s="13"/>
      <c r="D172" s="14"/>
      <c r="E172" s="302" t="s">
        <v>211</v>
      </c>
      <c r="F172" s="303"/>
      <c r="G172" s="304"/>
      <c r="H172" s="31"/>
    </row>
    <row r="173" spans="3:8" x14ac:dyDescent="0.2">
      <c r="C173" s="13"/>
      <c r="D173" s="14"/>
      <c r="E173" s="29" t="s">
        <v>87</v>
      </c>
      <c r="F173" s="304">
        <f>SUM(F160:F172)</f>
        <v>0</v>
      </c>
      <c r="G173" s="304"/>
      <c r="H173" s="31"/>
    </row>
    <row r="174" spans="3:8" x14ac:dyDescent="0.2">
      <c r="C174" s="13"/>
      <c r="D174" s="14"/>
      <c r="E174" s="29"/>
      <c r="F174" s="26"/>
      <c r="G174" s="26"/>
      <c r="H174" s="31"/>
    </row>
    <row r="175" spans="3:8" x14ac:dyDescent="0.2">
      <c r="C175" s="13"/>
      <c r="D175" s="14"/>
      <c r="E175" s="29" t="s">
        <v>215</v>
      </c>
      <c r="F175" s="317">
        <f>R151</f>
        <v>0</v>
      </c>
      <c r="G175" s="317"/>
      <c r="H175" s="31"/>
    </row>
    <row r="176" spans="3:8" x14ac:dyDescent="0.2">
      <c r="C176" s="13"/>
      <c r="D176" s="14"/>
      <c r="E176" s="30" t="s">
        <v>189</v>
      </c>
      <c r="F176" s="316">
        <f>F173-F175</f>
        <v>0</v>
      </c>
      <c r="G176" s="317"/>
      <c r="H176" s="31"/>
    </row>
    <row r="177" spans="3:8" ht="14.25" x14ac:dyDescent="0.2">
      <c r="C177" s="13"/>
      <c r="D177" s="14"/>
      <c r="E177" s="310" t="s">
        <v>210</v>
      </c>
      <c r="F177" s="321" t="str">
        <f>IF(F176="","",IF(F176=0,"OK","ISSUE"))</f>
        <v>OK</v>
      </c>
      <c r="G177" s="309"/>
      <c r="H177" s="31"/>
    </row>
    <row r="178" spans="3:8" x14ac:dyDescent="0.2">
      <c r="C178" s="13"/>
      <c r="D178" s="14"/>
      <c r="G178" s="311"/>
      <c r="H178" s="31"/>
    </row>
    <row r="179" spans="3:8" ht="13.5" thickBot="1" x14ac:dyDescent="0.25">
      <c r="C179" s="117"/>
      <c r="D179" s="234"/>
      <c r="E179" s="234"/>
      <c r="F179" s="318"/>
      <c r="G179" s="318"/>
      <c r="H179" s="12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439"/>
  <sheetViews>
    <sheetView zoomScale="80" zoomScaleNormal="80" zoomScalePageLayoutView="80" workbookViewId="0">
      <pane ySplit="10" topLeftCell="A150" activePane="bottomLeft" state="frozen"/>
      <selection pane="bottomLeft" activeCell="A150" sqref="A150"/>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458</v>
      </c>
      <c r="H2" s="14"/>
    </row>
    <row r="3" spans="1:22" ht="16.350000000000001" customHeight="1" x14ac:dyDescent="0.2">
      <c r="B3" s="43" t="str">
        <f>'Revenue - Base year'!B3</f>
        <v>Queenscliffe (B)</v>
      </c>
    </row>
    <row r="4" spans="1:22" ht="12" customHeight="1" thickBot="1" x14ac:dyDescent="0.25">
      <c r="C4" s="14"/>
      <c r="D4" s="45"/>
      <c r="E4" s="81"/>
      <c r="F4" s="81"/>
      <c r="G4" s="81"/>
      <c r="H4" s="81"/>
      <c r="I4" s="81"/>
      <c r="J4" s="81"/>
      <c r="K4" s="81"/>
      <c r="L4" s="81"/>
      <c r="M4" s="81"/>
      <c r="N4" s="81"/>
      <c r="O4" s="81"/>
      <c r="P4" s="14"/>
      <c r="Q4" s="14"/>
      <c r="R4" s="14"/>
      <c r="S4" s="14"/>
      <c r="T4" s="14"/>
      <c r="U4" s="14"/>
      <c r="V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customHeight="1" x14ac:dyDescent="0.2">
      <c r="C6" s="13"/>
      <c r="D6" s="45"/>
      <c r="E6" s="81"/>
      <c r="F6" s="54"/>
      <c r="G6" s="14"/>
      <c r="H6" s="14"/>
      <c r="I6" s="14"/>
      <c r="J6" s="14"/>
      <c r="K6" s="768" t="str">
        <f>' Instructions'!C9</f>
        <v>2016-17</v>
      </c>
      <c r="L6" s="769"/>
      <c r="M6" s="769"/>
      <c r="N6" s="769"/>
      <c r="O6" s="769"/>
      <c r="P6" s="769"/>
      <c r="Q6" s="769"/>
      <c r="R6" s="769"/>
      <c r="S6" s="769"/>
      <c r="T6" s="771"/>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30" customHeight="1" x14ac:dyDescent="0.2">
      <c r="C8" s="13"/>
      <c r="D8" s="14"/>
      <c r="E8" s="81"/>
      <c r="F8" s="831" t="s">
        <v>107</v>
      </c>
      <c r="G8" s="832"/>
      <c r="H8" s="833"/>
      <c r="I8" s="773" t="s">
        <v>162</v>
      </c>
      <c r="J8" s="14"/>
      <c r="K8" s="837" t="s">
        <v>174</v>
      </c>
      <c r="L8" s="838"/>
      <c r="M8" s="839"/>
      <c r="N8" s="786" t="s">
        <v>101</v>
      </c>
      <c r="O8" s="787"/>
      <c r="P8" s="787"/>
      <c r="Q8" s="787"/>
      <c r="R8" s="788"/>
      <c r="S8" s="772" t="s">
        <v>116</v>
      </c>
      <c r="T8" s="772" t="s">
        <v>91</v>
      </c>
      <c r="U8" s="31"/>
      <c r="V8" s="14"/>
    </row>
    <row r="9" spans="1:22" ht="25.5" x14ac:dyDescent="0.2">
      <c r="C9" s="13"/>
      <c r="D9" s="14"/>
      <c r="E9" s="118"/>
      <c r="F9" s="834"/>
      <c r="G9" s="835"/>
      <c r="H9" s="836"/>
      <c r="I9" s="774"/>
      <c r="J9" s="14"/>
      <c r="K9" s="224" t="s">
        <v>117</v>
      </c>
      <c r="L9" s="224" t="s">
        <v>124</v>
      </c>
      <c r="M9" s="224" t="s">
        <v>161</v>
      </c>
      <c r="N9" s="269" t="s">
        <v>103</v>
      </c>
      <c r="O9" s="269" t="s">
        <v>104</v>
      </c>
      <c r="P9" s="269" t="s">
        <v>105</v>
      </c>
      <c r="Q9" s="269" t="s">
        <v>106</v>
      </c>
      <c r="R9" s="269" t="s">
        <v>87</v>
      </c>
      <c r="S9" s="772"/>
      <c r="T9" s="772"/>
      <c r="U9" s="31"/>
      <c r="V9" s="14"/>
    </row>
    <row r="10" spans="1:22" x14ac:dyDescent="0.2">
      <c r="C10" s="13"/>
      <c r="D10" s="14"/>
      <c r="E10" s="118"/>
      <c r="F10" s="150"/>
      <c r="G10" s="150"/>
      <c r="H10" s="150"/>
      <c r="I10" s="150"/>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793" t="str">
        <f>'[4]ESC Cap Wks'!$A$9</f>
        <v>Point Lonsdale Foreshore Revitalisation - Stage 3: Village Park Upgrade</v>
      </c>
      <c r="F12" s="795" t="s">
        <v>559</v>
      </c>
      <c r="G12" s="827"/>
      <c r="H12" s="828"/>
      <c r="I12" s="704" t="s">
        <v>516</v>
      </c>
      <c r="J12" s="14"/>
      <c r="K12" s="829">
        <v>0.5</v>
      </c>
      <c r="L12" s="829">
        <v>0</v>
      </c>
      <c r="M12" s="829">
        <v>0.5</v>
      </c>
      <c r="N12" s="830">
        <v>0</v>
      </c>
      <c r="O12" s="830">
        <f>0.8*GETPIVOTDATA("Sum of 2016/17",'[4]ESC Cap Wks'!$A$3,"ACCOUNT NAME","Point Lonsdale Foreshore Revitalisation - Stage 3: Village Park Upgrade","Statement of Capital Works - Asset Class","50% Buildings, 30% Parks, open space and streetscapes, 20% RL&amp;CF","Statement of Capital Works - N/R/U","80% renewal, 20% upgrade")</f>
        <v>179801.32800000001</v>
      </c>
      <c r="P12" s="830">
        <v>0</v>
      </c>
      <c r="Q12" s="830">
        <f>0.2*GETPIVOTDATA("Sum of 2016/17",'[4]ESC Cap Wks'!$A$3,"ACCOUNT NAME","Point Lonsdale Foreshore Revitalisation - Stage 3: Village Park Upgrade","Statement of Capital Works - Asset Class","50% Buildings, 30% Parks, open space and streetscapes, 20% RL&amp;CF","Statement of Capital Works - N/R/U","80% renewal, 20% upgrade")</f>
        <v>44950.332000000002</v>
      </c>
      <c r="R12" s="840">
        <f>SUM(N12:Q16)</f>
        <v>224751.66</v>
      </c>
      <c r="S12" s="65" t="s">
        <v>111</v>
      </c>
      <c r="T12" s="404">
        <v>216751.66</v>
      </c>
      <c r="U12" s="31"/>
      <c r="V12" s="14"/>
    </row>
    <row r="13" spans="1:22" ht="12" customHeight="1" x14ac:dyDescent="0.2">
      <c r="C13" s="13"/>
      <c r="D13" s="19"/>
      <c r="E13" s="782"/>
      <c r="F13" s="812"/>
      <c r="G13" s="813"/>
      <c r="H13" s="814"/>
      <c r="I13" s="702" t="s">
        <v>519</v>
      </c>
      <c r="J13" s="14"/>
      <c r="K13" s="805"/>
      <c r="L13" s="805"/>
      <c r="M13" s="805"/>
      <c r="N13" s="779"/>
      <c r="O13" s="779"/>
      <c r="P13" s="779"/>
      <c r="Q13" s="779"/>
      <c r="R13" s="791"/>
      <c r="S13" s="66" t="s">
        <v>108</v>
      </c>
      <c r="T13" s="108">
        <v>8000</v>
      </c>
      <c r="U13" s="31"/>
      <c r="V13" s="14"/>
    </row>
    <row r="14" spans="1:22" ht="12" customHeight="1" x14ac:dyDescent="0.2">
      <c r="C14" s="13"/>
      <c r="D14" s="19"/>
      <c r="E14" s="782"/>
      <c r="F14" s="812"/>
      <c r="G14" s="813"/>
      <c r="H14" s="814"/>
      <c r="I14" s="702" t="s">
        <v>514</v>
      </c>
      <c r="J14" s="14"/>
      <c r="K14" s="805"/>
      <c r="L14" s="805"/>
      <c r="M14" s="805"/>
      <c r="N14" s="779"/>
      <c r="O14" s="779"/>
      <c r="P14" s="779"/>
      <c r="Q14" s="779"/>
      <c r="R14" s="791"/>
      <c r="S14" s="66"/>
      <c r="T14" s="108"/>
      <c r="U14" s="31"/>
      <c r="V14" s="14"/>
    </row>
    <row r="15" spans="1:22" ht="12" customHeight="1" x14ac:dyDescent="0.2">
      <c r="C15" s="13"/>
      <c r="D15" s="19"/>
      <c r="E15" s="782"/>
      <c r="F15" s="812"/>
      <c r="G15" s="813"/>
      <c r="H15" s="814"/>
      <c r="I15" s="702" t="s">
        <v>515</v>
      </c>
      <c r="J15" s="14"/>
      <c r="K15" s="805"/>
      <c r="L15" s="805"/>
      <c r="M15" s="805"/>
      <c r="N15" s="779"/>
      <c r="O15" s="779"/>
      <c r="P15" s="779"/>
      <c r="Q15" s="779"/>
      <c r="R15" s="791"/>
      <c r="S15" s="66"/>
      <c r="T15" s="108"/>
      <c r="U15" s="31"/>
      <c r="V15" s="14"/>
    </row>
    <row r="16" spans="1:22" ht="12" customHeight="1" x14ac:dyDescent="0.2">
      <c r="C16" s="13"/>
      <c r="D16" s="19"/>
      <c r="E16" s="783"/>
      <c r="F16" s="824"/>
      <c r="G16" s="825"/>
      <c r="H16" s="826"/>
      <c r="I16" s="702"/>
      <c r="J16" s="14"/>
      <c r="K16" s="808"/>
      <c r="L16" s="808"/>
      <c r="M16" s="808"/>
      <c r="N16" s="789"/>
      <c r="O16" s="789"/>
      <c r="P16" s="789"/>
      <c r="Q16" s="789"/>
      <c r="R16" s="792"/>
      <c r="S16" s="151" t="s">
        <v>87</v>
      </c>
      <c r="T16" s="109">
        <f>SUM(T12:T15)</f>
        <v>224751.66</v>
      </c>
      <c r="U16" s="31"/>
      <c r="V16" s="14"/>
    </row>
    <row r="17" spans="3:22" ht="12" customHeight="1" x14ac:dyDescent="0.2">
      <c r="C17" s="13"/>
      <c r="D17" s="19">
        <f>D12+1</f>
        <v>2</v>
      </c>
      <c r="E17" s="781" t="str">
        <f>'[4]ESC Cap Wks'!$A$14</f>
        <v>Develop Stage 2 of the Queenscliff Sports &amp; Recreation Precinct Development Plan</v>
      </c>
      <c r="F17" s="821" t="s">
        <v>517</v>
      </c>
      <c r="G17" s="822"/>
      <c r="H17" s="823"/>
      <c r="I17" s="702" t="s">
        <v>516</v>
      </c>
      <c r="J17" s="14"/>
      <c r="K17" s="804">
        <v>0.5</v>
      </c>
      <c r="L17" s="804">
        <v>0</v>
      </c>
      <c r="M17" s="804">
        <v>0.5</v>
      </c>
      <c r="N17" s="778">
        <f>0.35*GETPIVOTDATA("Sum of 2016/17",'[4]ESC Cap Wks'!$A$3,"ACCOUNT NAME","Develop Stage 2 of the Queenscliff Sports &amp; Recreation Precinct Development Plan","Statement of Capital Works - Asset Class","50% Buildings, 47% RL&amp;CF, 3% Roads","Statement of Capital Works - N/R/U","15% renewal, 50% upgrade, 35% new")</f>
        <v>102550</v>
      </c>
      <c r="O17" s="778">
        <f>0.15*GETPIVOTDATA("Sum of 2016/17",'[4]ESC Cap Wks'!$A$3,"ACCOUNT NAME","Develop Stage 2 of the Queenscliff Sports &amp; Recreation Precinct Development Plan","Statement of Capital Works - Asset Class","50% Buildings, 47% RL&amp;CF, 3% Roads","Statement of Capital Works - N/R/U","15% renewal, 50% upgrade, 35% new")</f>
        <v>43950</v>
      </c>
      <c r="P17" s="778">
        <v>0</v>
      </c>
      <c r="Q17" s="778">
        <f>0.5*GETPIVOTDATA("Sum of 2016/17",'[4]ESC Cap Wks'!$A$3,"ACCOUNT NAME","Develop Stage 2 of the Queenscliff Sports &amp; Recreation Precinct Development Plan","Statement of Capital Works - Asset Class","50% Buildings, 47% RL&amp;CF, 3% Roads","Statement of Capital Works - N/R/U","15% renewal, 50% upgrade, 35% new")</f>
        <v>146500</v>
      </c>
      <c r="R17" s="790">
        <f>SUM(N17:Q21)</f>
        <v>293000</v>
      </c>
      <c r="S17" s="66" t="s">
        <v>111</v>
      </c>
      <c r="T17" s="110">
        <f>R17</f>
        <v>293000</v>
      </c>
      <c r="U17" s="31"/>
      <c r="V17" s="14"/>
    </row>
    <row r="18" spans="3:22" ht="12" customHeight="1" x14ac:dyDescent="0.2">
      <c r="C18" s="13"/>
      <c r="D18" s="19"/>
      <c r="E18" s="782"/>
      <c r="F18" s="798"/>
      <c r="G18" s="799"/>
      <c r="H18" s="800"/>
      <c r="I18" s="702" t="s">
        <v>514</v>
      </c>
      <c r="J18" s="14"/>
      <c r="K18" s="805"/>
      <c r="L18" s="805"/>
      <c r="M18" s="805"/>
      <c r="N18" s="779"/>
      <c r="O18" s="779"/>
      <c r="P18" s="779"/>
      <c r="Q18" s="779"/>
      <c r="R18" s="791"/>
      <c r="S18" s="66"/>
      <c r="T18" s="110"/>
      <c r="U18" s="31"/>
      <c r="V18" s="14"/>
    </row>
    <row r="19" spans="3:22" ht="12" customHeight="1" x14ac:dyDescent="0.2">
      <c r="C19" s="13"/>
      <c r="D19" s="19"/>
      <c r="E19" s="782"/>
      <c r="F19" s="798"/>
      <c r="G19" s="799"/>
      <c r="H19" s="800"/>
      <c r="I19" s="702" t="s">
        <v>518</v>
      </c>
      <c r="J19" s="14"/>
      <c r="K19" s="805"/>
      <c r="L19" s="805"/>
      <c r="M19" s="805"/>
      <c r="N19" s="779"/>
      <c r="O19" s="779"/>
      <c r="P19" s="779"/>
      <c r="Q19" s="779"/>
      <c r="R19" s="791"/>
      <c r="S19" s="66"/>
      <c r="T19" s="110"/>
      <c r="U19" s="31"/>
      <c r="V19" s="14"/>
    </row>
    <row r="20" spans="3:22" ht="12" customHeight="1" x14ac:dyDescent="0.2">
      <c r="C20" s="13"/>
      <c r="D20" s="19"/>
      <c r="E20" s="782"/>
      <c r="F20" s="798"/>
      <c r="G20" s="799"/>
      <c r="H20" s="800"/>
      <c r="I20" s="702" t="s">
        <v>519</v>
      </c>
      <c r="J20" s="14"/>
      <c r="K20" s="805"/>
      <c r="L20" s="805"/>
      <c r="M20" s="805"/>
      <c r="N20" s="779"/>
      <c r="O20" s="779"/>
      <c r="P20" s="779"/>
      <c r="Q20" s="779"/>
      <c r="R20" s="791"/>
      <c r="S20" s="66"/>
      <c r="T20" s="110"/>
      <c r="U20" s="31"/>
      <c r="V20" s="14"/>
    </row>
    <row r="21" spans="3:22" ht="12" customHeight="1" x14ac:dyDescent="0.2">
      <c r="C21" s="13"/>
      <c r="D21" s="19"/>
      <c r="E21" s="783"/>
      <c r="F21" s="818"/>
      <c r="G21" s="819"/>
      <c r="H21" s="820"/>
      <c r="I21" s="702" t="s">
        <v>515</v>
      </c>
      <c r="J21" s="14"/>
      <c r="K21" s="808"/>
      <c r="L21" s="808"/>
      <c r="M21" s="808"/>
      <c r="N21" s="789"/>
      <c r="O21" s="789"/>
      <c r="P21" s="789"/>
      <c r="Q21" s="789"/>
      <c r="R21" s="792"/>
      <c r="S21" s="151" t="s">
        <v>87</v>
      </c>
      <c r="T21" s="109">
        <f>SUM(T17:T20)</f>
        <v>293000</v>
      </c>
      <c r="U21" s="31"/>
      <c r="V21" s="14"/>
    </row>
    <row r="22" spans="3:22" ht="12" customHeight="1" x14ac:dyDescent="0.2">
      <c r="C22" s="13"/>
      <c r="D22" s="19">
        <f>D17+1</f>
        <v>3</v>
      </c>
      <c r="E22" s="781" t="str">
        <f>'[4]ESC Cap Wks'!$A$31</f>
        <v>Queenscliff Historic Railway Precinct Project - Senior Citizens &amp; Sea Scouts Buildings</v>
      </c>
      <c r="F22" s="821" t="s">
        <v>560</v>
      </c>
      <c r="G22" s="810"/>
      <c r="H22" s="811"/>
      <c r="I22" s="705" t="s">
        <v>516</v>
      </c>
      <c r="J22" s="14"/>
      <c r="K22" s="804">
        <v>1</v>
      </c>
      <c r="L22" s="804">
        <v>0</v>
      </c>
      <c r="M22" s="804">
        <v>0</v>
      </c>
      <c r="N22" s="778">
        <v>0</v>
      </c>
      <c r="O22" s="778">
        <f>0.8*GETPIVOTDATA("Sum of 2016/17",'[4]ESC Cap Wks'!$A$3,"ACCOUNT NAME","Queenscliff Historic Railway Precinct Project - Senior Citizens &amp; Sea Scouts Buildings","Statement of Capital Works - Asset Class","Buildings","Statement of Capital Works - N/R/U","80% renewal, 20% upgrade")</f>
        <v>428.50400000000002</v>
      </c>
      <c r="P22" s="778">
        <v>0</v>
      </c>
      <c r="Q22" s="778">
        <f>0.2*GETPIVOTDATA("Sum of 2016/17",'[4]ESC Cap Wks'!$A$3,"ACCOUNT NAME","Queenscliff Historic Railway Precinct Project - Senior Citizens &amp; Sea Scouts Buildings","Statement of Capital Works - Asset Class","Buildings","Statement of Capital Works - N/R/U","80% renewal, 20% upgrade")</f>
        <v>107.126</v>
      </c>
      <c r="R22" s="790">
        <f>SUM(N22:Q26)</f>
        <v>535.63</v>
      </c>
      <c r="S22" s="66" t="s">
        <v>111</v>
      </c>
      <c r="T22" s="110">
        <f>R22</f>
        <v>535.63</v>
      </c>
      <c r="U22" s="31"/>
      <c r="V22" s="14"/>
    </row>
    <row r="23" spans="3:22" ht="12" customHeight="1" x14ac:dyDescent="0.2">
      <c r="C23" s="13"/>
      <c r="D23" s="19"/>
      <c r="E23" s="782"/>
      <c r="F23" s="812"/>
      <c r="G23" s="813"/>
      <c r="H23" s="814"/>
      <c r="I23" s="705" t="s">
        <v>514</v>
      </c>
      <c r="J23" s="14"/>
      <c r="K23" s="805"/>
      <c r="L23" s="805"/>
      <c r="M23" s="805"/>
      <c r="N23" s="779"/>
      <c r="O23" s="779"/>
      <c r="P23" s="779"/>
      <c r="Q23" s="779"/>
      <c r="R23" s="791"/>
      <c r="S23" s="66"/>
      <c r="T23" s="110"/>
      <c r="U23" s="31"/>
      <c r="V23" s="14"/>
    </row>
    <row r="24" spans="3:22" ht="12" customHeight="1" x14ac:dyDescent="0.2">
      <c r="C24" s="13"/>
      <c r="D24" s="19"/>
      <c r="E24" s="782"/>
      <c r="F24" s="812"/>
      <c r="G24" s="813"/>
      <c r="H24" s="814"/>
      <c r="I24" s="705" t="s">
        <v>515</v>
      </c>
      <c r="J24" s="14"/>
      <c r="K24" s="805"/>
      <c r="L24" s="805"/>
      <c r="M24" s="805"/>
      <c r="N24" s="779"/>
      <c r="O24" s="779"/>
      <c r="P24" s="779"/>
      <c r="Q24" s="779"/>
      <c r="R24" s="791"/>
      <c r="S24" s="66"/>
      <c r="T24" s="110"/>
      <c r="U24" s="31"/>
      <c r="V24" s="14"/>
    </row>
    <row r="25" spans="3:22" ht="12" customHeight="1" x14ac:dyDescent="0.2">
      <c r="C25" s="13"/>
      <c r="D25" s="19"/>
      <c r="E25" s="782"/>
      <c r="F25" s="812"/>
      <c r="G25" s="813"/>
      <c r="H25" s="814"/>
      <c r="I25" s="705" t="s">
        <v>528</v>
      </c>
      <c r="J25" s="14"/>
      <c r="K25" s="805"/>
      <c r="L25" s="805"/>
      <c r="M25" s="805"/>
      <c r="N25" s="779"/>
      <c r="O25" s="779"/>
      <c r="P25" s="779"/>
      <c r="Q25" s="779"/>
      <c r="R25" s="791"/>
      <c r="S25" s="66"/>
      <c r="T25" s="110"/>
      <c r="U25" s="31"/>
      <c r="V25" s="14"/>
    </row>
    <row r="26" spans="3:22" ht="12" customHeight="1" x14ac:dyDescent="0.2">
      <c r="C26" s="13"/>
      <c r="D26" s="19"/>
      <c r="E26" s="783"/>
      <c r="F26" s="824"/>
      <c r="G26" s="825"/>
      <c r="H26" s="826"/>
      <c r="I26" s="705" t="s">
        <v>526</v>
      </c>
      <c r="J26" s="14"/>
      <c r="K26" s="808"/>
      <c r="L26" s="808"/>
      <c r="M26" s="808"/>
      <c r="N26" s="789"/>
      <c r="O26" s="789"/>
      <c r="P26" s="789"/>
      <c r="Q26" s="789"/>
      <c r="R26" s="792"/>
      <c r="S26" s="151" t="s">
        <v>87</v>
      </c>
      <c r="T26" s="109">
        <f>SUM(T22:T25)</f>
        <v>535.63</v>
      </c>
      <c r="U26" s="31"/>
      <c r="V26" s="14"/>
    </row>
    <row r="27" spans="3:22" ht="12" customHeight="1" x14ac:dyDescent="0.2">
      <c r="C27" s="13"/>
      <c r="D27" s="19">
        <f>D22+1</f>
        <v>4</v>
      </c>
      <c r="E27" s="781" t="str">
        <f>'[4]ESC Cap Wks'!$A$45</f>
        <v>Town hall upgrade including solar panels</v>
      </c>
      <c r="F27" s="821" t="s">
        <v>524</v>
      </c>
      <c r="G27" s="822"/>
      <c r="H27" s="823"/>
      <c r="I27" s="702" t="s">
        <v>525</v>
      </c>
      <c r="J27" s="14"/>
      <c r="K27" s="804">
        <v>1</v>
      </c>
      <c r="L27" s="804">
        <v>0</v>
      </c>
      <c r="M27" s="804">
        <v>0</v>
      </c>
      <c r="N27" s="778">
        <f>GETPIVOTDATA("Sum of 2016/17",'[4]ESC Cap Wks'!$A$3,"ACCOUNT NAME","Town hall upgrade including solar panels","Statement of Capital Works - Asset Class","Buildings","Statement of Capital Works - N/R/U","New asset expenditure")</f>
        <v>1200</v>
      </c>
      <c r="O27" s="778">
        <v>0</v>
      </c>
      <c r="P27" s="778">
        <v>0</v>
      </c>
      <c r="Q27" s="778">
        <v>0</v>
      </c>
      <c r="R27" s="790">
        <f>SUM(N27:Q31)</f>
        <v>1200</v>
      </c>
      <c r="S27" s="66" t="s">
        <v>111</v>
      </c>
      <c r="T27" s="110">
        <f>R27</f>
        <v>1200</v>
      </c>
      <c r="U27" s="31"/>
      <c r="V27" s="14"/>
    </row>
    <row r="28" spans="3:22" ht="12" customHeight="1" x14ac:dyDescent="0.2">
      <c r="C28" s="13"/>
      <c r="D28" s="19"/>
      <c r="E28" s="782"/>
      <c r="F28" s="798"/>
      <c r="G28" s="799"/>
      <c r="H28" s="800"/>
      <c r="I28" s="702" t="s">
        <v>514</v>
      </c>
      <c r="J28" s="14"/>
      <c r="K28" s="805"/>
      <c r="L28" s="805"/>
      <c r="M28" s="805"/>
      <c r="N28" s="779"/>
      <c r="O28" s="779"/>
      <c r="P28" s="779"/>
      <c r="Q28" s="779"/>
      <c r="R28" s="791"/>
      <c r="S28" s="66"/>
      <c r="T28" s="110"/>
      <c r="U28" s="31"/>
      <c r="V28" s="14"/>
    </row>
    <row r="29" spans="3:22" ht="12" customHeight="1" x14ac:dyDescent="0.2">
      <c r="C29" s="13"/>
      <c r="D29" s="19"/>
      <c r="E29" s="782"/>
      <c r="F29" s="798"/>
      <c r="G29" s="799"/>
      <c r="H29" s="800"/>
      <c r="I29" s="702" t="s">
        <v>526</v>
      </c>
      <c r="J29" s="14"/>
      <c r="K29" s="805"/>
      <c r="L29" s="805"/>
      <c r="M29" s="805"/>
      <c r="N29" s="779"/>
      <c r="O29" s="779"/>
      <c r="P29" s="779"/>
      <c r="Q29" s="779"/>
      <c r="R29" s="791"/>
      <c r="S29" s="66"/>
      <c r="T29" s="110"/>
      <c r="U29" s="31"/>
      <c r="V29" s="14"/>
    </row>
    <row r="30" spans="3:22" ht="12" customHeight="1" x14ac:dyDescent="0.2">
      <c r="C30" s="13"/>
      <c r="D30" s="19"/>
      <c r="E30" s="782"/>
      <c r="F30" s="798"/>
      <c r="G30" s="799"/>
      <c r="H30" s="800"/>
      <c r="I30" s="702"/>
      <c r="J30" s="14"/>
      <c r="K30" s="805"/>
      <c r="L30" s="805"/>
      <c r="M30" s="805"/>
      <c r="N30" s="779"/>
      <c r="O30" s="779"/>
      <c r="P30" s="779"/>
      <c r="Q30" s="779"/>
      <c r="R30" s="791"/>
      <c r="S30" s="66"/>
      <c r="T30" s="110"/>
      <c r="U30" s="31"/>
      <c r="V30" s="14"/>
    </row>
    <row r="31" spans="3:22" ht="12" customHeight="1" x14ac:dyDescent="0.2">
      <c r="C31" s="13"/>
      <c r="D31" s="19"/>
      <c r="E31" s="783"/>
      <c r="F31" s="818"/>
      <c r="G31" s="819"/>
      <c r="H31" s="820"/>
      <c r="I31" s="702"/>
      <c r="J31" s="14"/>
      <c r="K31" s="808"/>
      <c r="L31" s="808"/>
      <c r="M31" s="808"/>
      <c r="N31" s="789"/>
      <c r="O31" s="789"/>
      <c r="P31" s="789"/>
      <c r="Q31" s="789"/>
      <c r="R31" s="792"/>
      <c r="S31" s="151" t="s">
        <v>87</v>
      </c>
      <c r="T31" s="109">
        <f>SUM(T27:T30)</f>
        <v>1200</v>
      </c>
      <c r="U31" s="31"/>
      <c r="V31" s="14"/>
    </row>
    <row r="32" spans="3:22" ht="12" customHeight="1" x14ac:dyDescent="0.2">
      <c r="C32" s="13"/>
      <c r="D32" s="19">
        <f>D27+1</f>
        <v>5</v>
      </c>
      <c r="E32" s="781" t="str">
        <f>'[4]ESC Cap Wks'!$A$50</f>
        <v>Purchase and implementation of new finance system</v>
      </c>
      <c r="F32" s="821" t="s">
        <v>571</v>
      </c>
      <c r="G32" s="822"/>
      <c r="H32" s="823"/>
      <c r="I32" s="705" t="s">
        <v>572</v>
      </c>
      <c r="J32" s="14"/>
      <c r="K32" s="804">
        <v>0</v>
      </c>
      <c r="L32" s="804">
        <v>1</v>
      </c>
      <c r="M32" s="804">
        <v>0</v>
      </c>
      <c r="N32" s="778">
        <f>GETPIVOTDATA("Sum of 2016/17",'[4]ESC Cap Wks'!$A$3,"ACCOUNT NAME","Purchase and implementation of new finance system","Statement of Capital Works - Asset Class","Computers and telecommunications","Statement of Capital Works - N/R/U","New asset expenditure")</f>
        <v>156863.82999999999</v>
      </c>
      <c r="O32" s="778">
        <v>0</v>
      </c>
      <c r="P32" s="778">
        <v>0</v>
      </c>
      <c r="Q32" s="778">
        <v>0</v>
      </c>
      <c r="R32" s="790">
        <f>SUM(N32:Q36)</f>
        <v>156863.82999999999</v>
      </c>
      <c r="S32" s="66" t="s">
        <v>111</v>
      </c>
      <c r="T32" s="110">
        <f>R32</f>
        <v>156863.82999999999</v>
      </c>
      <c r="U32" s="31"/>
      <c r="V32" s="14"/>
    </row>
    <row r="33" spans="3:22" ht="12" customHeight="1" x14ac:dyDescent="0.2">
      <c r="C33" s="13"/>
      <c r="D33" s="19"/>
      <c r="E33" s="782"/>
      <c r="F33" s="798"/>
      <c r="G33" s="799"/>
      <c r="H33" s="800"/>
      <c r="I33" s="705" t="s">
        <v>533</v>
      </c>
      <c r="J33" s="14"/>
      <c r="K33" s="805"/>
      <c r="L33" s="805"/>
      <c r="M33" s="805"/>
      <c r="N33" s="779"/>
      <c r="O33" s="779"/>
      <c r="P33" s="779"/>
      <c r="Q33" s="779"/>
      <c r="R33" s="791"/>
      <c r="S33" s="66"/>
      <c r="T33" s="110"/>
      <c r="U33" s="31"/>
      <c r="V33" s="14"/>
    </row>
    <row r="34" spans="3:22" ht="12" customHeight="1" x14ac:dyDescent="0.2">
      <c r="C34" s="13"/>
      <c r="D34" s="19"/>
      <c r="E34" s="782"/>
      <c r="F34" s="798"/>
      <c r="G34" s="799"/>
      <c r="H34" s="800"/>
      <c r="I34" s="705" t="s">
        <v>573</v>
      </c>
      <c r="J34" s="14"/>
      <c r="K34" s="805"/>
      <c r="L34" s="805"/>
      <c r="M34" s="805"/>
      <c r="N34" s="779"/>
      <c r="O34" s="779"/>
      <c r="P34" s="779"/>
      <c r="Q34" s="779"/>
      <c r="R34" s="791"/>
      <c r="S34" s="66"/>
      <c r="T34" s="110"/>
      <c r="U34" s="31"/>
      <c r="V34" s="14"/>
    </row>
    <row r="35" spans="3:22" ht="12" customHeight="1" x14ac:dyDescent="0.2">
      <c r="C35" s="13"/>
      <c r="D35" s="19"/>
      <c r="E35" s="782"/>
      <c r="F35" s="798"/>
      <c r="G35" s="799"/>
      <c r="H35" s="800"/>
      <c r="I35" s="705"/>
      <c r="J35" s="14"/>
      <c r="K35" s="805"/>
      <c r="L35" s="805"/>
      <c r="M35" s="805"/>
      <c r="N35" s="779"/>
      <c r="O35" s="779"/>
      <c r="P35" s="779"/>
      <c r="Q35" s="779"/>
      <c r="R35" s="791"/>
      <c r="S35" s="66"/>
      <c r="T35" s="110"/>
      <c r="U35" s="31"/>
      <c r="V35" s="14"/>
    </row>
    <row r="36" spans="3:22" ht="12" customHeight="1" x14ac:dyDescent="0.2">
      <c r="C36" s="13"/>
      <c r="D36" s="19"/>
      <c r="E36" s="783"/>
      <c r="F36" s="818"/>
      <c r="G36" s="819"/>
      <c r="H36" s="820"/>
      <c r="I36" s="705"/>
      <c r="J36" s="14"/>
      <c r="K36" s="808"/>
      <c r="L36" s="808"/>
      <c r="M36" s="808"/>
      <c r="N36" s="789"/>
      <c r="O36" s="789"/>
      <c r="P36" s="789"/>
      <c r="Q36" s="789"/>
      <c r="R36" s="792"/>
      <c r="S36" s="151" t="s">
        <v>87</v>
      </c>
      <c r="T36" s="109">
        <f>SUM(T32:T35)</f>
        <v>156863.82999999999</v>
      </c>
      <c r="U36" s="31"/>
      <c r="V36" s="14"/>
    </row>
    <row r="37" spans="3:22" x14ac:dyDescent="0.2">
      <c r="C37" s="13"/>
      <c r="D37" s="19">
        <f>D32+1</f>
        <v>6</v>
      </c>
      <c r="E37" s="781" t="str">
        <f>'[4]ESC Cap Wks'!$A$61</f>
        <v>Footpath Strategy</v>
      </c>
      <c r="F37" s="821" t="s">
        <v>527</v>
      </c>
      <c r="G37" s="822"/>
      <c r="H37" s="823"/>
      <c r="I37" s="702" t="s">
        <v>514</v>
      </c>
      <c r="J37" s="14"/>
      <c r="K37" s="804">
        <v>0</v>
      </c>
      <c r="L37" s="804">
        <v>0</v>
      </c>
      <c r="M37" s="804">
        <v>1</v>
      </c>
      <c r="N37" s="778">
        <v>0</v>
      </c>
      <c r="O37" s="778">
        <f>0.5*GETPIVOTDATA("Sum of 2016/17",'[4]ESC Cap Wks'!$A$3,"ACCOUNT NAME","Footpath Strategy","Statement of Capital Works - Asset Class","Footpaths and cycleways","Statement of Capital Works - N/R/U","50% renewal, 50% upgrade")</f>
        <v>10000</v>
      </c>
      <c r="P37" s="778">
        <v>0</v>
      </c>
      <c r="Q37" s="778">
        <f>0.5*GETPIVOTDATA("Sum of 2016/17",'[4]ESC Cap Wks'!$A$3,"ACCOUNT NAME","Footpath Strategy","Statement of Capital Works - Asset Class","Footpaths and cycleways","Statement of Capital Works - N/R/U","50% renewal, 50% upgrade")</f>
        <v>10000</v>
      </c>
      <c r="R37" s="790">
        <f>SUM(N37:Q41)</f>
        <v>20000</v>
      </c>
      <c r="S37" s="66" t="s">
        <v>111</v>
      </c>
      <c r="T37" s="110">
        <f>R37</f>
        <v>20000</v>
      </c>
      <c r="U37" s="31"/>
      <c r="V37" s="14"/>
    </row>
    <row r="38" spans="3:22" x14ac:dyDescent="0.2">
      <c r="C38" s="13"/>
      <c r="D38" s="19"/>
      <c r="E38" s="782"/>
      <c r="F38" s="798"/>
      <c r="G38" s="799"/>
      <c r="H38" s="800"/>
      <c r="I38" s="702" t="s">
        <v>516</v>
      </c>
      <c r="J38" s="14"/>
      <c r="K38" s="805"/>
      <c r="L38" s="805"/>
      <c r="M38" s="805"/>
      <c r="N38" s="779"/>
      <c r="O38" s="779"/>
      <c r="P38" s="779"/>
      <c r="Q38" s="779"/>
      <c r="R38" s="791"/>
      <c r="S38" s="66"/>
      <c r="T38" s="110"/>
      <c r="U38" s="31"/>
      <c r="V38" s="14"/>
    </row>
    <row r="39" spans="3:22" x14ac:dyDescent="0.2">
      <c r="C39" s="13"/>
      <c r="D39" s="19"/>
      <c r="E39" s="782"/>
      <c r="F39" s="798"/>
      <c r="G39" s="799"/>
      <c r="H39" s="800"/>
      <c r="I39" s="702" t="s">
        <v>528</v>
      </c>
      <c r="J39" s="14"/>
      <c r="K39" s="805"/>
      <c r="L39" s="805"/>
      <c r="M39" s="805"/>
      <c r="N39" s="779"/>
      <c r="O39" s="779"/>
      <c r="P39" s="779"/>
      <c r="Q39" s="779"/>
      <c r="R39" s="791"/>
      <c r="S39" s="66"/>
      <c r="T39" s="110"/>
      <c r="U39" s="31"/>
      <c r="V39" s="14"/>
    </row>
    <row r="40" spans="3:22" x14ac:dyDescent="0.2">
      <c r="C40" s="13"/>
      <c r="D40" s="19"/>
      <c r="E40" s="782"/>
      <c r="F40" s="798"/>
      <c r="G40" s="799"/>
      <c r="H40" s="800"/>
      <c r="I40" s="702" t="s">
        <v>515</v>
      </c>
      <c r="J40" s="14"/>
      <c r="K40" s="805"/>
      <c r="L40" s="805"/>
      <c r="M40" s="805"/>
      <c r="N40" s="779"/>
      <c r="O40" s="779"/>
      <c r="P40" s="779"/>
      <c r="Q40" s="779"/>
      <c r="R40" s="791"/>
      <c r="S40" s="66"/>
      <c r="T40" s="110"/>
      <c r="U40" s="31"/>
      <c r="V40" s="14"/>
    </row>
    <row r="41" spans="3:22" x14ac:dyDescent="0.2">
      <c r="C41" s="13"/>
      <c r="D41" s="19"/>
      <c r="E41" s="783"/>
      <c r="F41" s="818"/>
      <c r="G41" s="819"/>
      <c r="H41" s="820"/>
      <c r="I41" s="702"/>
      <c r="J41" s="14"/>
      <c r="K41" s="808"/>
      <c r="L41" s="808"/>
      <c r="M41" s="808"/>
      <c r="N41" s="789"/>
      <c r="O41" s="789"/>
      <c r="P41" s="789"/>
      <c r="Q41" s="789"/>
      <c r="R41" s="792"/>
      <c r="S41" s="151" t="s">
        <v>87</v>
      </c>
      <c r="T41" s="109">
        <f>SUM(T37:T40)</f>
        <v>20000</v>
      </c>
      <c r="U41" s="31"/>
      <c r="V41" s="14"/>
    </row>
    <row r="42" spans="3:22" x14ac:dyDescent="0.2">
      <c r="C42" s="13"/>
      <c r="D42" s="19">
        <f>D37+1</f>
        <v>7</v>
      </c>
      <c r="E42" s="781" t="str">
        <f>'[4]ESC Cap Wks'!$A$69</f>
        <v>Extend rail trail path upgrade from The Narrows to Point Lonsdale P.S.</v>
      </c>
      <c r="F42" s="821" t="s">
        <v>561</v>
      </c>
      <c r="G42" s="822"/>
      <c r="H42" s="823"/>
      <c r="I42" s="705" t="s">
        <v>516</v>
      </c>
      <c r="J42" s="14"/>
      <c r="K42" s="804">
        <v>0</v>
      </c>
      <c r="L42" s="804">
        <v>0</v>
      </c>
      <c r="M42" s="804">
        <v>0</v>
      </c>
      <c r="N42" s="778">
        <v>0</v>
      </c>
      <c r="O42" s="778">
        <v>0</v>
      </c>
      <c r="P42" s="778">
        <v>0</v>
      </c>
      <c r="Q42" s="778">
        <f>GETPIVOTDATA("Sum of 2016/17",'[4]ESC Cap Wks'!$A$3,"ACCOUNT NAME","Extend rail trail path upgrade from The Narrows to Point Lonsdale P.S.","Statement of Capital Works - Asset Class","Footpaths and cycleways","Statement of Capital Works - N/R/U","Asset upgrade expenditure")</f>
        <v>80000</v>
      </c>
      <c r="R42" s="790">
        <f>SUM(N42:Q46)</f>
        <v>80000</v>
      </c>
      <c r="S42" s="66" t="s">
        <v>363</v>
      </c>
      <c r="T42" s="110">
        <f>Q42</f>
        <v>80000</v>
      </c>
      <c r="U42" s="31"/>
      <c r="V42" s="14"/>
    </row>
    <row r="43" spans="3:22" x14ac:dyDescent="0.2">
      <c r="C43" s="13"/>
      <c r="D43" s="19"/>
      <c r="E43" s="782"/>
      <c r="F43" s="798"/>
      <c r="G43" s="799"/>
      <c r="H43" s="800"/>
      <c r="I43" s="705" t="s">
        <v>514</v>
      </c>
      <c r="J43" s="14"/>
      <c r="K43" s="805"/>
      <c r="L43" s="805"/>
      <c r="M43" s="805"/>
      <c r="N43" s="779"/>
      <c r="O43" s="779"/>
      <c r="P43" s="779"/>
      <c r="Q43" s="779"/>
      <c r="R43" s="791"/>
      <c r="S43" s="66"/>
      <c r="T43" s="110"/>
      <c r="U43" s="31"/>
      <c r="V43" s="14"/>
    </row>
    <row r="44" spans="3:22" x14ac:dyDescent="0.2">
      <c r="C44" s="13"/>
      <c r="D44" s="19"/>
      <c r="E44" s="782"/>
      <c r="F44" s="798"/>
      <c r="G44" s="799"/>
      <c r="H44" s="800"/>
      <c r="I44" s="705" t="s">
        <v>515</v>
      </c>
      <c r="J44" s="14"/>
      <c r="K44" s="805"/>
      <c r="L44" s="805"/>
      <c r="M44" s="805"/>
      <c r="N44" s="779"/>
      <c r="O44" s="779"/>
      <c r="P44" s="779"/>
      <c r="Q44" s="779"/>
      <c r="R44" s="791"/>
      <c r="S44" s="66"/>
      <c r="T44" s="110"/>
      <c r="U44" s="31"/>
      <c r="V44" s="14"/>
    </row>
    <row r="45" spans="3:22" x14ac:dyDescent="0.2">
      <c r="C45" s="13"/>
      <c r="D45" s="19"/>
      <c r="E45" s="782"/>
      <c r="F45" s="798"/>
      <c r="G45" s="799"/>
      <c r="H45" s="800"/>
      <c r="I45" s="705"/>
      <c r="J45" s="14"/>
      <c r="K45" s="805"/>
      <c r="L45" s="805"/>
      <c r="M45" s="805"/>
      <c r="N45" s="779"/>
      <c r="O45" s="779"/>
      <c r="P45" s="779"/>
      <c r="Q45" s="779"/>
      <c r="R45" s="791"/>
      <c r="S45" s="66"/>
      <c r="T45" s="110"/>
      <c r="U45" s="31"/>
      <c r="V45" s="14"/>
    </row>
    <row r="46" spans="3:22" x14ac:dyDescent="0.2">
      <c r="C46" s="13"/>
      <c r="D46" s="19"/>
      <c r="E46" s="783"/>
      <c r="F46" s="818"/>
      <c r="G46" s="819"/>
      <c r="H46" s="820"/>
      <c r="I46" s="705"/>
      <c r="J46" s="14"/>
      <c r="K46" s="808"/>
      <c r="L46" s="808"/>
      <c r="M46" s="808"/>
      <c r="N46" s="789"/>
      <c r="O46" s="789"/>
      <c r="P46" s="789"/>
      <c r="Q46" s="789"/>
      <c r="R46" s="792"/>
      <c r="S46" s="151" t="s">
        <v>87</v>
      </c>
      <c r="T46" s="109">
        <f>SUM(T42:T45)</f>
        <v>80000</v>
      </c>
      <c r="U46" s="31"/>
      <c r="V46" s="14"/>
    </row>
    <row r="47" spans="3:22" x14ac:dyDescent="0.2">
      <c r="C47" s="13"/>
      <c r="D47" s="19">
        <f>D42+1</f>
        <v>8</v>
      </c>
      <c r="E47" s="781" t="str">
        <f>'[4]ESC Cap Wks'!$A$78</f>
        <v>Plan for redevelopment of Council freehold land</v>
      </c>
      <c r="F47" s="821" t="s">
        <v>529</v>
      </c>
      <c r="G47" s="822"/>
      <c r="H47" s="823"/>
      <c r="I47" s="702" t="s">
        <v>514</v>
      </c>
      <c r="J47" s="14"/>
      <c r="K47" s="804">
        <v>1</v>
      </c>
      <c r="L47" s="804">
        <v>0</v>
      </c>
      <c r="M47" s="804">
        <v>0</v>
      </c>
      <c r="N47" s="778">
        <v>0</v>
      </c>
      <c r="O47" s="778">
        <v>0</v>
      </c>
      <c r="P47" s="778">
        <v>0</v>
      </c>
      <c r="Q47" s="778">
        <f>GETPIVOTDATA("Sum of 2016/17",'[4]ESC Cap Wks'!$A$3,"ACCOUNT NAME","Plan for redevelopment of Council freehold land","Statement of Capital Works - Asset Class","Land improvements","Statement of Capital Works - N/R/U","Asset upgrade expenditure")</f>
        <v>5000</v>
      </c>
      <c r="R47" s="790">
        <f>SUM(N47:Q51)</f>
        <v>5000</v>
      </c>
      <c r="S47" s="66" t="s">
        <v>363</v>
      </c>
      <c r="T47" s="110">
        <f>R47</f>
        <v>5000</v>
      </c>
      <c r="U47" s="31"/>
      <c r="V47" s="14"/>
    </row>
    <row r="48" spans="3:22" x14ac:dyDescent="0.2">
      <c r="C48" s="13"/>
      <c r="D48" s="19"/>
      <c r="E48" s="782"/>
      <c r="F48" s="798"/>
      <c r="G48" s="799"/>
      <c r="H48" s="800"/>
      <c r="I48" s="702" t="s">
        <v>525</v>
      </c>
      <c r="J48" s="14"/>
      <c r="K48" s="805"/>
      <c r="L48" s="805"/>
      <c r="M48" s="805"/>
      <c r="N48" s="779"/>
      <c r="O48" s="779"/>
      <c r="P48" s="779"/>
      <c r="Q48" s="779"/>
      <c r="R48" s="791"/>
      <c r="S48" s="66"/>
      <c r="T48" s="110"/>
      <c r="U48" s="31"/>
      <c r="V48" s="14"/>
    </row>
    <row r="49" spans="3:22" x14ac:dyDescent="0.2">
      <c r="C49" s="13"/>
      <c r="D49" s="19"/>
      <c r="E49" s="782"/>
      <c r="F49" s="798"/>
      <c r="G49" s="799"/>
      <c r="H49" s="800"/>
      <c r="I49" s="702"/>
      <c r="J49" s="14"/>
      <c r="K49" s="805"/>
      <c r="L49" s="805"/>
      <c r="M49" s="805"/>
      <c r="N49" s="779"/>
      <c r="O49" s="779"/>
      <c r="P49" s="779"/>
      <c r="Q49" s="779"/>
      <c r="R49" s="791"/>
      <c r="S49" s="66"/>
      <c r="T49" s="110"/>
      <c r="U49" s="31"/>
      <c r="V49" s="14"/>
    </row>
    <row r="50" spans="3:22" x14ac:dyDescent="0.2">
      <c r="C50" s="13"/>
      <c r="D50" s="19"/>
      <c r="E50" s="782"/>
      <c r="F50" s="798"/>
      <c r="G50" s="799"/>
      <c r="H50" s="800"/>
      <c r="I50" s="702"/>
      <c r="J50" s="14"/>
      <c r="K50" s="805"/>
      <c r="L50" s="805"/>
      <c r="M50" s="805"/>
      <c r="N50" s="779"/>
      <c r="O50" s="779"/>
      <c r="P50" s="779"/>
      <c r="Q50" s="779"/>
      <c r="R50" s="791"/>
      <c r="S50" s="66"/>
      <c r="T50" s="110"/>
      <c r="U50" s="31"/>
      <c r="V50" s="14"/>
    </row>
    <row r="51" spans="3:22" x14ac:dyDescent="0.2">
      <c r="C51" s="13"/>
      <c r="D51" s="19"/>
      <c r="E51" s="783"/>
      <c r="F51" s="818"/>
      <c r="G51" s="819"/>
      <c r="H51" s="820"/>
      <c r="I51" s="702"/>
      <c r="J51" s="14"/>
      <c r="K51" s="808"/>
      <c r="L51" s="808"/>
      <c r="M51" s="808"/>
      <c r="N51" s="789"/>
      <c r="O51" s="789"/>
      <c r="P51" s="789"/>
      <c r="Q51" s="789"/>
      <c r="R51" s="792"/>
      <c r="S51" s="151" t="s">
        <v>87</v>
      </c>
      <c r="T51" s="109">
        <f>SUM(T47:T50)</f>
        <v>5000</v>
      </c>
      <c r="U51" s="31"/>
      <c r="V51" s="14"/>
    </row>
    <row r="52" spans="3:22" ht="12" customHeight="1" x14ac:dyDescent="0.2">
      <c r="C52" s="13"/>
      <c r="D52" s="19">
        <f>D47+1</f>
        <v>9</v>
      </c>
      <c r="E52" s="781" t="str">
        <f>'[4]ESC Cap Wks'!$A$81</f>
        <v>Dog Beach Carpark Upgrade</v>
      </c>
      <c r="F52" s="821" t="s">
        <v>562</v>
      </c>
      <c r="G52" s="810"/>
      <c r="H52" s="811"/>
      <c r="I52" s="705" t="s">
        <v>514</v>
      </c>
      <c r="J52" s="14"/>
      <c r="K52" s="804">
        <v>0</v>
      </c>
      <c r="L52" s="804">
        <v>0</v>
      </c>
      <c r="M52" s="804">
        <v>1</v>
      </c>
      <c r="N52" s="778">
        <v>0</v>
      </c>
      <c r="O52" s="778">
        <f>0.9*GETPIVOTDATA("Sum of 2016/17",'[4]ESC Cap Wks'!$A$3,"ACCOUNT NAME","Dog Beach Carpark Upgrade","Statement of Capital Works - Asset Class","Off street car parks","Statement of Capital Works - N/R/U","90% renewal, 10% upgrade")</f>
        <v>1710</v>
      </c>
      <c r="P52" s="778">
        <v>0</v>
      </c>
      <c r="Q52" s="778">
        <f>0.1*GETPIVOTDATA("Sum of 2016/17",'[4]ESC Cap Wks'!$A$3,"ACCOUNT NAME","Dog Beach Carpark Upgrade","Statement of Capital Works - Asset Class","Off street car parks","Statement of Capital Works - N/R/U","90% renewal, 10% upgrade")</f>
        <v>190</v>
      </c>
      <c r="R52" s="790">
        <f>SUM(N52:Q56)</f>
        <v>1900</v>
      </c>
      <c r="S52" s="66" t="s">
        <v>363</v>
      </c>
      <c r="T52" s="110">
        <f>R52</f>
        <v>1900</v>
      </c>
      <c r="U52" s="31"/>
      <c r="V52" s="14"/>
    </row>
    <row r="53" spans="3:22" ht="12" customHeight="1" x14ac:dyDescent="0.2">
      <c r="C53" s="13"/>
      <c r="D53" s="19"/>
      <c r="E53" s="782"/>
      <c r="F53" s="812"/>
      <c r="G53" s="813"/>
      <c r="H53" s="814"/>
      <c r="I53" s="705" t="s">
        <v>516</v>
      </c>
      <c r="J53" s="14"/>
      <c r="K53" s="805"/>
      <c r="L53" s="805"/>
      <c r="M53" s="805"/>
      <c r="N53" s="779"/>
      <c r="O53" s="779"/>
      <c r="P53" s="779"/>
      <c r="Q53" s="779"/>
      <c r="R53" s="791"/>
      <c r="S53" s="66"/>
      <c r="T53" s="110"/>
      <c r="U53" s="31"/>
      <c r="V53" s="14"/>
    </row>
    <row r="54" spans="3:22" ht="12" customHeight="1" x14ac:dyDescent="0.2">
      <c r="C54" s="13"/>
      <c r="D54" s="19"/>
      <c r="E54" s="782"/>
      <c r="F54" s="812"/>
      <c r="G54" s="813"/>
      <c r="H54" s="814"/>
      <c r="I54" s="705" t="s">
        <v>515</v>
      </c>
      <c r="J54" s="14"/>
      <c r="K54" s="805"/>
      <c r="L54" s="805"/>
      <c r="M54" s="805"/>
      <c r="N54" s="779"/>
      <c r="O54" s="779"/>
      <c r="P54" s="779"/>
      <c r="Q54" s="779"/>
      <c r="R54" s="791"/>
      <c r="S54" s="66"/>
      <c r="T54" s="110"/>
      <c r="U54" s="31"/>
      <c r="V54" s="14"/>
    </row>
    <row r="55" spans="3:22" ht="12" customHeight="1" x14ac:dyDescent="0.2">
      <c r="C55" s="13"/>
      <c r="D55" s="19"/>
      <c r="E55" s="782"/>
      <c r="F55" s="812"/>
      <c r="G55" s="813"/>
      <c r="H55" s="814"/>
      <c r="I55" s="705"/>
      <c r="J55" s="14"/>
      <c r="K55" s="805"/>
      <c r="L55" s="805"/>
      <c r="M55" s="805"/>
      <c r="N55" s="779"/>
      <c r="O55" s="779"/>
      <c r="P55" s="779"/>
      <c r="Q55" s="779"/>
      <c r="R55" s="791"/>
      <c r="S55" s="66"/>
      <c r="T55" s="110"/>
      <c r="U55" s="31"/>
      <c r="V55" s="14"/>
    </row>
    <row r="56" spans="3:22" ht="12" customHeight="1" x14ac:dyDescent="0.2">
      <c r="C56" s="13"/>
      <c r="D56" s="19"/>
      <c r="E56" s="783"/>
      <c r="F56" s="824"/>
      <c r="G56" s="825"/>
      <c r="H56" s="826"/>
      <c r="I56" s="705"/>
      <c r="J56" s="14"/>
      <c r="K56" s="808"/>
      <c r="L56" s="808"/>
      <c r="M56" s="808"/>
      <c r="N56" s="789"/>
      <c r="O56" s="789"/>
      <c r="P56" s="789"/>
      <c r="Q56" s="789"/>
      <c r="R56" s="792"/>
      <c r="S56" s="151" t="s">
        <v>87</v>
      </c>
      <c r="T56" s="109">
        <f>SUM(T52:T55)</f>
        <v>1900</v>
      </c>
      <c r="U56" s="31"/>
      <c r="V56" s="14"/>
    </row>
    <row r="57" spans="3:22" ht="12" customHeight="1" x14ac:dyDescent="0.2">
      <c r="C57" s="13"/>
      <c r="D57" s="19">
        <f>D52+1</f>
        <v>10</v>
      </c>
      <c r="E57" s="781" t="str">
        <f>'[4]ESC Cap Wks'!$A$92</f>
        <v>Towns entry and main road tourism signage plan</v>
      </c>
      <c r="F57" s="821" t="s">
        <v>531</v>
      </c>
      <c r="G57" s="810"/>
      <c r="H57" s="811"/>
      <c r="I57" s="702" t="s">
        <v>519</v>
      </c>
      <c r="J57" s="14"/>
      <c r="K57" s="804">
        <v>0</v>
      </c>
      <c r="L57" s="804">
        <v>0</v>
      </c>
      <c r="M57" s="804">
        <v>1</v>
      </c>
      <c r="N57" s="778">
        <v>0</v>
      </c>
      <c r="O57" s="778">
        <f>GETPIVOTDATA("Sum of 2016/17",'[4]ESC Cap Wks'!$A$3,"ACCOUNT NAME","Towns entry and main road tourism signage plan","Statement of Capital Works - Asset Class","Other infrastructure","Statement of Capital Works - N/R/U","Asset renewal expenditure")</f>
        <v>9060</v>
      </c>
      <c r="P57" s="778">
        <v>0</v>
      </c>
      <c r="Q57" s="778">
        <v>0</v>
      </c>
      <c r="R57" s="790">
        <f>SUM(N57:Q61)</f>
        <v>9060</v>
      </c>
      <c r="S57" s="66" t="s">
        <v>111</v>
      </c>
      <c r="T57" s="110">
        <f>R57</f>
        <v>9060</v>
      </c>
      <c r="U57" s="31"/>
      <c r="V57" s="14"/>
    </row>
    <row r="58" spans="3:22" ht="12" customHeight="1" x14ac:dyDescent="0.2">
      <c r="C58" s="13"/>
      <c r="D58" s="19"/>
      <c r="E58" s="782"/>
      <c r="F58" s="812"/>
      <c r="G58" s="813"/>
      <c r="H58" s="814"/>
      <c r="I58" s="702"/>
      <c r="J58" s="14"/>
      <c r="K58" s="805"/>
      <c r="L58" s="805"/>
      <c r="M58" s="805"/>
      <c r="N58" s="779"/>
      <c r="O58" s="779"/>
      <c r="P58" s="779"/>
      <c r="Q58" s="779"/>
      <c r="R58" s="791"/>
      <c r="S58" s="66"/>
      <c r="T58" s="110"/>
      <c r="U58" s="31"/>
      <c r="V58" s="14"/>
    </row>
    <row r="59" spans="3:22" ht="12" customHeight="1" x14ac:dyDescent="0.2">
      <c r="C59" s="13"/>
      <c r="D59" s="19"/>
      <c r="E59" s="782"/>
      <c r="F59" s="812"/>
      <c r="G59" s="813"/>
      <c r="H59" s="814"/>
      <c r="I59" s="702"/>
      <c r="J59" s="14"/>
      <c r="K59" s="805"/>
      <c r="L59" s="805"/>
      <c r="M59" s="805"/>
      <c r="N59" s="779"/>
      <c r="O59" s="779"/>
      <c r="P59" s="779"/>
      <c r="Q59" s="779"/>
      <c r="R59" s="791"/>
      <c r="S59" s="66"/>
      <c r="T59" s="110"/>
      <c r="U59" s="31"/>
      <c r="V59" s="14"/>
    </row>
    <row r="60" spans="3:22" ht="12" customHeight="1" x14ac:dyDescent="0.2">
      <c r="C60" s="13"/>
      <c r="D60" s="19"/>
      <c r="E60" s="782"/>
      <c r="F60" s="812"/>
      <c r="G60" s="813"/>
      <c r="H60" s="814"/>
      <c r="I60" s="702"/>
      <c r="J60" s="14"/>
      <c r="K60" s="805"/>
      <c r="L60" s="805"/>
      <c r="M60" s="805"/>
      <c r="N60" s="779"/>
      <c r="O60" s="779"/>
      <c r="P60" s="779"/>
      <c r="Q60" s="779"/>
      <c r="R60" s="791"/>
      <c r="S60" s="66"/>
      <c r="T60" s="110"/>
      <c r="U60" s="31"/>
      <c r="V60" s="14"/>
    </row>
    <row r="61" spans="3:22" ht="12" customHeight="1" x14ac:dyDescent="0.2">
      <c r="C61" s="13"/>
      <c r="D61" s="19"/>
      <c r="E61" s="783"/>
      <c r="F61" s="824"/>
      <c r="G61" s="825"/>
      <c r="H61" s="826"/>
      <c r="I61" s="702"/>
      <c r="J61" s="14"/>
      <c r="K61" s="808"/>
      <c r="L61" s="808"/>
      <c r="M61" s="808"/>
      <c r="N61" s="789"/>
      <c r="O61" s="789"/>
      <c r="P61" s="789"/>
      <c r="Q61" s="789"/>
      <c r="R61" s="792"/>
      <c r="S61" s="151" t="s">
        <v>87</v>
      </c>
      <c r="T61" s="109">
        <f>SUM(T57:T60)</f>
        <v>9060</v>
      </c>
      <c r="U61" s="31"/>
      <c r="V61" s="14"/>
    </row>
    <row r="62" spans="3:22" ht="12" customHeight="1" x14ac:dyDescent="0.2">
      <c r="C62" s="13"/>
      <c r="D62" s="19">
        <f>D57+1</f>
        <v>11</v>
      </c>
      <c r="E62" s="781" t="str">
        <f>'[4]ESC Cap Wks'!$A$96</f>
        <v>Street Signs Upgrade</v>
      </c>
      <c r="F62" s="795" t="s">
        <v>534</v>
      </c>
      <c r="G62" s="796"/>
      <c r="H62" s="797"/>
      <c r="I62" s="702" t="s">
        <v>514</v>
      </c>
      <c r="J62" s="14"/>
      <c r="K62" s="804">
        <v>0</v>
      </c>
      <c r="L62" s="804">
        <v>0</v>
      </c>
      <c r="M62" s="804">
        <v>1</v>
      </c>
      <c r="N62" s="778">
        <v>0</v>
      </c>
      <c r="O62" s="778">
        <v>0</v>
      </c>
      <c r="P62" s="778">
        <v>0</v>
      </c>
      <c r="Q62" s="778">
        <f>GETPIVOTDATA("Sum of 2016/17",'[4]ESC Cap Wks'!$A$3,"ACCOUNT NAME","Street Signs Upgrade","Statement of Capital Works - Asset Class","Other infrastructure","Statement of Capital Works - N/R/U","Asset upgrade expenditure")</f>
        <v>20000</v>
      </c>
      <c r="R62" s="790">
        <f>SUM(N62:Q66)</f>
        <v>20000</v>
      </c>
      <c r="S62" s="66" t="s">
        <v>363</v>
      </c>
      <c r="T62" s="110">
        <f>R62</f>
        <v>20000</v>
      </c>
      <c r="U62" s="31"/>
      <c r="V62" s="14"/>
    </row>
    <row r="63" spans="3:22" ht="12" customHeight="1" x14ac:dyDescent="0.2">
      <c r="C63" s="13"/>
      <c r="D63" s="19"/>
      <c r="E63" s="782"/>
      <c r="F63" s="798"/>
      <c r="G63" s="799"/>
      <c r="H63" s="800"/>
      <c r="I63" s="702" t="s">
        <v>519</v>
      </c>
      <c r="J63" s="14"/>
      <c r="K63" s="805"/>
      <c r="L63" s="805"/>
      <c r="M63" s="805"/>
      <c r="N63" s="779"/>
      <c r="O63" s="779"/>
      <c r="P63" s="779"/>
      <c r="Q63" s="779"/>
      <c r="R63" s="791"/>
      <c r="S63" s="66"/>
      <c r="T63" s="110"/>
      <c r="U63" s="31"/>
      <c r="V63" s="14"/>
    </row>
    <row r="64" spans="3:22" ht="12" customHeight="1" x14ac:dyDescent="0.2">
      <c r="C64" s="13"/>
      <c r="D64" s="19"/>
      <c r="E64" s="782"/>
      <c r="F64" s="798"/>
      <c r="G64" s="799"/>
      <c r="H64" s="800"/>
      <c r="I64" s="702"/>
      <c r="J64" s="14"/>
      <c r="K64" s="805"/>
      <c r="L64" s="805"/>
      <c r="M64" s="805"/>
      <c r="N64" s="779"/>
      <c r="O64" s="779"/>
      <c r="P64" s="779"/>
      <c r="Q64" s="779"/>
      <c r="R64" s="791"/>
      <c r="S64" s="66"/>
      <c r="T64" s="110"/>
      <c r="U64" s="31"/>
      <c r="V64" s="14"/>
    </row>
    <row r="65" spans="3:22" ht="12" customHeight="1" x14ac:dyDescent="0.2">
      <c r="C65" s="13"/>
      <c r="D65" s="19"/>
      <c r="E65" s="782"/>
      <c r="F65" s="798"/>
      <c r="G65" s="799"/>
      <c r="H65" s="800"/>
      <c r="I65" s="702"/>
      <c r="J65" s="14"/>
      <c r="K65" s="805"/>
      <c r="L65" s="805"/>
      <c r="M65" s="805"/>
      <c r="N65" s="779"/>
      <c r="O65" s="779"/>
      <c r="P65" s="779"/>
      <c r="Q65" s="779"/>
      <c r="R65" s="791"/>
      <c r="S65" s="66"/>
      <c r="T65" s="110"/>
      <c r="U65" s="31"/>
      <c r="V65" s="14"/>
    </row>
    <row r="66" spans="3:22" ht="12" customHeight="1" x14ac:dyDescent="0.2">
      <c r="C66" s="13"/>
      <c r="D66" s="19"/>
      <c r="E66" s="783"/>
      <c r="F66" s="801"/>
      <c r="G66" s="802"/>
      <c r="H66" s="803"/>
      <c r="I66" s="703"/>
      <c r="J66" s="14"/>
      <c r="K66" s="808"/>
      <c r="L66" s="808"/>
      <c r="M66" s="808"/>
      <c r="N66" s="789"/>
      <c r="O66" s="789"/>
      <c r="P66" s="789"/>
      <c r="Q66" s="789"/>
      <c r="R66" s="792"/>
      <c r="S66" s="151" t="s">
        <v>87</v>
      </c>
      <c r="T66" s="109">
        <f>SUM(T62:T65)</f>
        <v>20000</v>
      </c>
      <c r="U66" s="31"/>
      <c r="V66" s="14"/>
    </row>
    <row r="67" spans="3:22" x14ac:dyDescent="0.2">
      <c r="C67" s="13"/>
      <c r="D67" s="19">
        <f>D62+1</f>
        <v>12</v>
      </c>
      <c r="E67" s="781" t="str">
        <f>'[4]ESC Cap Wks'!$A$98</f>
        <v>CSIRO C-Fast Modelling Project - Increase number of water fountains in Borough</v>
      </c>
      <c r="F67" s="795" t="s">
        <v>563</v>
      </c>
      <c r="G67" s="796"/>
      <c r="H67" s="797"/>
      <c r="I67" s="705" t="s">
        <v>516</v>
      </c>
      <c r="J67" s="14"/>
      <c r="K67" s="804">
        <v>0</v>
      </c>
      <c r="L67" s="804">
        <v>0</v>
      </c>
      <c r="M67" s="804">
        <v>1</v>
      </c>
      <c r="N67" s="778">
        <f>GETPIVOTDATA("Sum of 2016/17",'[4]ESC Cap Wks'!$A$3,"ACCOUNT NAME","CSIRO C-Fast Modelling Project - Increase number of water fountains in Borough","Statement of Capital Works - Asset Class","Other infrastructure","Statement of Capital Works - N/R/U","New asset expenditure")</f>
        <v>5000</v>
      </c>
      <c r="O67" s="778">
        <v>0</v>
      </c>
      <c r="P67" s="778">
        <v>0</v>
      </c>
      <c r="Q67" s="778">
        <v>0</v>
      </c>
      <c r="R67" s="790">
        <f>SUM(N67:Q71)</f>
        <v>5000</v>
      </c>
      <c r="S67" s="66" t="s">
        <v>111</v>
      </c>
      <c r="T67" s="110">
        <f>R67</f>
        <v>5000</v>
      </c>
      <c r="U67" s="31"/>
      <c r="V67" s="14"/>
    </row>
    <row r="68" spans="3:22" x14ac:dyDescent="0.2">
      <c r="C68" s="13"/>
      <c r="D68" s="19"/>
      <c r="E68" s="782"/>
      <c r="F68" s="798"/>
      <c r="G68" s="799"/>
      <c r="H68" s="800"/>
      <c r="I68" s="705" t="s">
        <v>525</v>
      </c>
      <c r="J68" s="14"/>
      <c r="K68" s="805"/>
      <c r="L68" s="805"/>
      <c r="M68" s="805"/>
      <c r="N68" s="779"/>
      <c r="O68" s="779"/>
      <c r="P68" s="779"/>
      <c r="Q68" s="779"/>
      <c r="R68" s="791"/>
      <c r="S68" s="66"/>
      <c r="T68" s="110"/>
      <c r="U68" s="31"/>
      <c r="V68" s="14"/>
    </row>
    <row r="69" spans="3:22" x14ac:dyDescent="0.2">
      <c r="C69" s="13"/>
      <c r="D69" s="19"/>
      <c r="E69" s="782"/>
      <c r="F69" s="798"/>
      <c r="G69" s="799"/>
      <c r="H69" s="800"/>
      <c r="I69" s="705" t="s">
        <v>515</v>
      </c>
      <c r="J69" s="14"/>
      <c r="K69" s="805"/>
      <c r="L69" s="805"/>
      <c r="M69" s="805"/>
      <c r="N69" s="779"/>
      <c r="O69" s="779"/>
      <c r="P69" s="779"/>
      <c r="Q69" s="779"/>
      <c r="R69" s="791"/>
      <c r="S69" s="66"/>
      <c r="T69" s="110"/>
      <c r="U69" s="31"/>
      <c r="V69" s="14"/>
    </row>
    <row r="70" spans="3:22" x14ac:dyDescent="0.2">
      <c r="C70" s="13"/>
      <c r="D70" s="19"/>
      <c r="E70" s="782"/>
      <c r="F70" s="798"/>
      <c r="G70" s="799"/>
      <c r="H70" s="800"/>
      <c r="I70" s="705"/>
      <c r="J70" s="14"/>
      <c r="K70" s="805"/>
      <c r="L70" s="805"/>
      <c r="M70" s="805"/>
      <c r="N70" s="779"/>
      <c r="O70" s="779"/>
      <c r="P70" s="779"/>
      <c r="Q70" s="779"/>
      <c r="R70" s="791"/>
      <c r="S70" s="66"/>
      <c r="T70" s="110"/>
      <c r="U70" s="31"/>
      <c r="V70" s="14"/>
    </row>
    <row r="71" spans="3:22" x14ac:dyDescent="0.2">
      <c r="C71" s="13"/>
      <c r="D71" s="19"/>
      <c r="E71" s="783"/>
      <c r="F71" s="818"/>
      <c r="G71" s="819"/>
      <c r="H71" s="820"/>
      <c r="I71" s="705"/>
      <c r="J71" s="14"/>
      <c r="K71" s="808"/>
      <c r="L71" s="808"/>
      <c r="M71" s="808"/>
      <c r="N71" s="789"/>
      <c r="O71" s="789"/>
      <c r="P71" s="789"/>
      <c r="Q71" s="789"/>
      <c r="R71" s="792"/>
      <c r="S71" s="151" t="s">
        <v>87</v>
      </c>
      <c r="T71" s="109">
        <f>SUM(T67:T70)</f>
        <v>5000</v>
      </c>
      <c r="U71" s="31"/>
      <c r="V71" s="14"/>
    </row>
    <row r="72" spans="3:22" x14ac:dyDescent="0.2">
      <c r="C72" s="13"/>
      <c r="D72" s="19">
        <f>D67+1</f>
        <v>13</v>
      </c>
      <c r="E72" s="781" t="str">
        <f>'[4]ESC Cap Wks'!$A$102</f>
        <v>Installation of path lighting at Ferry to Pier Shared Path</v>
      </c>
      <c r="F72" s="821" t="s">
        <v>564</v>
      </c>
      <c r="G72" s="822"/>
      <c r="H72" s="823"/>
      <c r="I72" s="705" t="s">
        <v>516</v>
      </c>
      <c r="J72" s="14"/>
      <c r="K72" s="804">
        <v>0</v>
      </c>
      <c r="L72" s="804">
        <v>0</v>
      </c>
      <c r="M72" s="804">
        <v>1</v>
      </c>
      <c r="N72" s="778">
        <f>GETPIVOTDATA("Sum of 2016/17",'[4]ESC Cap Wks'!$A$3,"ACCOUNT NAME","Installation of path lighting at Ferry to Pier Shared Path","Statement of Capital Works - Asset Class","Other infrastructure","Statement of Capital Works - N/R/U","New asset expenditure")</f>
        <v>78000</v>
      </c>
      <c r="O72" s="778">
        <v>0</v>
      </c>
      <c r="P72" s="778">
        <v>0</v>
      </c>
      <c r="Q72" s="778">
        <v>0</v>
      </c>
      <c r="R72" s="790">
        <f>SUM(N72:Q76)</f>
        <v>78000</v>
      </c>
      <c r="S72" s="66" t="s">
        <v>363</v>
      </c>
      <c r="T72" s="110">
        <f>R72</f>
        <v>78000</v>
      </c>
      <c r="U72" s="31"/>
      <c r="V72" s="14"/>
    </row>
    <row r="73" spans="3:22" x14ac:dyDescent="0.2">
      <c r="C73" s="13"/>
      <c r="D73" s="19"/>
      <c r="E73" s="782"/>
      <c r="F73" s="798"/>
      <c r="G73" s="799"/>
      <c r="H73" s="800"/>
      <c r="I73" s="705" t="s">
        <v>514</v>
      </c>
      <c r="J73" s="14"/>
      <c r="K73" s="805"/>
      <c r="L73" s="805"/>
      <c r="M73" s="805"/>
      <c r="N73" s="779"/>
      <c r="O73" s="779"/>
      <c r="P73" s="779"/>
      <c r="Q73" s="779"/>
      <c r="R73" s="791"/>
      <c r="S73" s="66"/>
      <c r="T73" s="110"/>
      <c r="U73" s="31"/>
      <c r="V73" s="14"/>
    </row>
    <row r="74" spans="3:22" x14ac:dyDescent="0.2">
      <c r="C74" s="13"/>
      <c r="D74" s="19"/>
      <c r="E74" s="782"/>
      <c r="F74" s="798"/>
      <c r="G74" s="799"/>
      <c r="H74" s="800"/>
      <c r="I74" s="705" t="s">
        <v>537</v>
      </c>
      <c r="J74" s="14"/>
      <c r="K74" s="805"/>
      <c r="L74" s="805"/>
      <c r="M74" s="805"/>
      <c r="N74" s="779"/>
      <c r="O74" s="779"/>
      <c r="P74" s="779"/>
      <c r="Q74" s="779"/>
      <c r="R74" s="791"/>
      <c r="S74" s="66"/>
      <c r="T74" s="110"/>
      <c r="U74" s="31"/>
      <c r="V74" s="14"/>
    </row>
    <row r="75" spans="3:22" x14ac:dyDescent="0.2">
      <c r="C75" s="13"/>
      <c r="D75" s="19"/>
      <c r="E75" s="782"/>
      <c r="F75" s="798"/>
      <c r="G75" s="799"/>
      <c r="H75" s="800"/>
      <c r="I75" s="705" t="s">
        <v>538</v>
      </c>
      <c r="J75" s="14"/>
      <c r="K75" s="805"/>
      <c r="L75" s="805"/>
      <c r="M75" s="805"/>
      <c r="N75" s="779"/>
      <c r="O75" s="779"/>
      <c r="P75" s="779"/>
      <c r="Q75" s="779"/>
      <c r="R75" s="791"/>
      <c r="S75" s="66"/>
      <c r="T75" s="110"/>
      <c r="U75" s="31"/>
      <c r="V75" s="14"/>
    </row>
    <row r="76" spans="3:22" x14ac:dyDescent="0.2">
      <c r="C76" s="13"/>
      <c r="D76" s="19"/>
      <c r="E76" s="783"/>
      <c r="F76" s="818"/>
      <c r="G76" s="819"/>
      <c r="H76" s="820"/>
      <c r="I76" s="705" t="s">
        <v>519</v>
      </c>
      <c r="J76" s="14"/>
      <c r="K76" s="808"/>
      <c r="L76" s="808"/>
      <c r="M76" s="808"/>
      <c r="N76" s="789"/>
      <c r="O76" s="789"/>
      <c r="P76" s="789"/>
      <c r="Q76" s="789"/>
      <c r="R76" s="792"/>
      <c r="S76" s="151" t="s">
        <v>87</v>
      </c>
      <c r="T76" s="109">
        <f>SUM(T72:T75)</f>
        <v>78000</v>
      </c>
      <c r="U76" s="31"/>
      <c r="V76" s="14"/>
    </row>
    <row r="77" spans="3:22" x14ac:dyDescent="0.2">
      <c r="C77" s="13"/>
      <c r="D77" s="19">
        <f>D72+1</f>
        <v>14</v>
      </c>
      <c r="E77" s="781" t="str">
        <f>'[4]ESC Cap Wks'!$A$103</f>
        <v>Installation of path lighting at Queenscliff Neighbourhood House</v>
      </c>
      <c r="F77" s="821" t="s">
        <v>565</v>
      </c>
      <c r="G77" s="810"/>
      <c r="H77" s="811"/>
      <c r="I77" s="705" t="s">
        <v>516</v>
      </c>
      <c r="J77" s="14"/>
      <c r="K77" s="804">
        <v>0</v>
      </c>
      <c r="L77" s="804">
        <v>0</v>
      </c>
      <c r="M77" s="804">
        <v>1</v>
      </c>
      <c r="N77" s="778">
        <f>GETPIVOTDATA("Sum of 2016/17",'[4]ESC Cap Wks'!$A$3,"ACCOUNT NAME","Installation of path lighting at Queenscliff Neighbourhood House","Statement of Capital Works - Asset Class","Other infrastructure","Statement of Capital Works - N/R/U","New asset expenditure")</f>
        <v>25000</v>
      </c>
      <c r="O77" s="778">
        <v>0</v>
      </c>
      <c r="P77" s="778">
        <v>0</v>
      </c>
      <c r="Q77" s="778">
        <v>0</v>
      </c>
      <c r="R77" s="790">
        <f>SUM(N77:Q81)</f>
        <v>25000</v>
      </c>
      <c r="S77" s="66" t="s">
        <v>363</v>
      </c>
      <c r="T77" s="110">
        <f>R77</f>
        <v>25000</v>
      </c>
      <c r="U77" s="31"/>
      <c r="V77" s="14"/>
    </row>
    <row r="78" spans="3:22" x14ac:dyDescent="0.2">
      <c r="C78" s="13"/>
      <c r="D78" s="19"/>
      <c r="E78" s="782"/>
      <c r="F78" s="812"/>
      <c r="G78" s="813"/>
      <c r="H78" s="814"/>
      <c r="I78" s="705" t="s">
        <v>514</v>
      </c>
      <c r="J78" s="14"/>
      <c r="K78" s="805"/>
      <c r="L78" s="805"/>
      <c r="M78" s="805"/>
      <c r="N78" s="779"/>
      <c r="O78" s="779"/>
      <c r="P78" s="779"/>
      <c r="Q78" s="779"/>
      <c r="R78" s="791"/>
      <c r="S78" s="66"/>
      <c r="T78" s="110"/>
      <c r="U78" s="31"/>
      <c r="V78" s="14"/>
    </row>
    <row r="79" spans="3:22" x14ac:dyDescent="0.2">
      <c r="C79" s="13"/>
      <c r="D79" s="19"/>
      <c r="E79" s="782"/>
      <c r="F79" s="812"/>
      <c r="G79" s="813"/>
      <c r="H79" s="814"/>
      <c r="I79" s="705" t="s">
        <v>537</v>
      </c>
      <c r="J79" s="14"/>
      <c r="K79" s="805"/>
      <c r="L79" s="805"/>
      <c r="M79" s="805"/>
      <c r="N79" s="779"/>
      <c r="O79" s="779"/>
      <c r="P79" s="779"/>
      <c r="Q79" s="779"/>
      <c r="R79" s="791"/>
      <c r="S79" s="66"/>
      <c r="T79" s="110"/>
      <c r="U79" s="31"/>
      <c r="V79" s="14"/>
    </row>
    <row r="80" spans="3:22" x14ac:dyDescent="0.2">
      <c r="C80" s="13"/>
      <c r="D80" s="19"/>
      <c r="E80" s="782"/>
      <c r="F80" s="812"/>
      <c r="G80" s="813"/>
      <c r="H80" s="814"/>
      <c r="I80" s="705" t="s">
        <v>538</v>
      </c>
      <c r="J80" s="14"/>
      <c r="K80" s="805"/>
      <c r="L80" s="805"/>
      <c r="M80" s="805"/>
      <c r="N80" s="779"/>
      <c r="O80" s="779"/>
      <c r="P80" s="779"/>
      <c r="Q80" s="779"/>
      <c r="R80" s="791"/>
      <c r="S80" s="66"/>
      <c r="T80" s="110"/>
      <c r="U80" s="31"/>
      <c r="V80" s="14"/>
    </row>
    <row r="81" spans="3:22" x14ac:dyDescent="0.2">
      <c r="C81" s="13"/>
      <c r="D81" s="19"/>
      <c r="E81" s="783"/>
      <c r="F81" s="824"/>
      <c r="G81" s="825"/>
      <c r="H81" s="826"/>
      <c r="I81" s="705"/>
      <c r="J81" s="14"/>
      <c r="K81" s="808"/>
      <c r="L81" s="808"/>
      <c r="M81" s="808"/>
      <c r="N81" s="789"/>
      <c r="O81" s="789"/>
      <c r="P81" s="789"/>
      <c r="Q81" s="789"/>
      <c r="R81" s="792"/>
      <c r="S81" s="151" t="s">
        <v>87</v>
      </c>
      <c r="T81" s="109">
        <f>SUM(T77:T80)</f>
        <v>25000</v>
      </c>
      <c r="U81" s="31"/>
      <c r="V81" s="14"/>
    </row>
    <row r="82" spans="3:22" ht="12.75" customHeight="1" x14ac:dyDescent="0.2">
      <c r="C82" s="13"/>
      <c r="D82" s="19">
        <f>D77+1</f>
        <v>15</v>
      </c>
      <c r="E82" s="781" t="str">
        <f>'[4]ESC Cap Wks'!$A$104</f>
        <v>Planning for path lighting at The Narrows, between King St &amp; Murray Rd</v>
      </c>
      <c r="F82" s="821" t="s">
        <v>566</v>
      </c>
      <c r="G82" s="810"/>
      <c r="H82" s="811"/>
      <c r="I82" s="705" t="s">
        <v>516</v>
      </c>
      <c r="J82" s="14"/>
      <c r="K82" s="804">
        <v>0</v>
      </c>
      <c r="L82" s="804">
        <v>0</v>
      </c>
      <c r="M82" s="804">
        <v>1</v>
      </c>
      <c r="N82" s="778">
        <f>GETPIVOTDATA("Sum of 2016/17",'[4]ESC Cap Wks'!$A$3,"ACCOUNT NAME","Planning for path lighting at The Narrows, between King St &amp; Murray Rd","Statement of Capital Works - Asset Class","Other infrastructure","Statement of Capital Works - N/R/U","New asset expenditure")</f>
        <v>40000</v>
      </c>
      <c r="O82" s="778">
        <v>0</v>
      </c>
      <c r="P82" s="778">
        <v>0</v>
      </c>
      <c r="Q82" s="778">
        <v>0</v>
      </c>
      <c r="R82" s="790">
        <f>SUM(N82:Q86)</f>
        <v>40000</v>
      </c>
      <c r="S82" s="66" t="s">
        <v>363</v>
      </c>
      <c r="T82" s="110">
        <f>R82</f>
        <v>40000</v>
      </c>
      <c r="U82" s="31"/>
      <c r="V82" s="14"/>
    </row>
    <row r="83" spans="3:22" ht="12.75" customHeight="1" x14ac:dyDescent="0.2">
      <c r="C83" s="13"/>
      <c r="D83" s="19"/>
      <c r="E83" s="782"/>
      <c r="F83" s="812"/>
      <c r="G83" s="813"/>
      <c r="H83" s="814"/>
      <c r="I83" s="705" t="s">
        <v>514</v>
      </c>
      <c r="J83" s="14"/>
      <c r="K83" s="805"/>
      <c r="L83" s="805"/>
      <c r="M83" s="805"/>
      <c r="N83" s="779"/>
      <c r="O83" s="779"/>
      <c r="P83" s="779"/>
      <c r="Q83" s="779"/>
      <c r="R83" s="791"/>
      <c r="S83" s="66"/>
      <c r="T83" s="110"/>
      <c r="U83" s="31"/>
      <c r="V83" s="14"/>
    </row>
    <row r="84" spans="3:22" ht="12.75" customHeight="1" x14ac:dyDescent="0.2">
      <c r="C84" s="13"/>
      <c r="D84" s="19"/>
      <c r="E84" s="782"/>
      <c r="F84" s="812"/>
      <c r="G84" s="813"/>
      <c r="H84" s="814"/>
      <c r="I84" s="705" t="s">
        <v>537</v>
      </c>
      <c r="J84" s="14"/>
      <c r="K84" s="805"/>
      <c r="L84" s="805"/>
      <c r="M84" s="805"/>
      <c r="N84" s="779"/>
      <c r="O84" s="779"/>
      <c r="P84" s="779"/>
      <c r="Q84" s="779"/>
      <c r="R84" s="791"/>
      <c r="S84" s="66"/>
      <c r="T84" s="110"/>
      <c r="U84" s="31"/>
      <c r="V84" s="14"/>
    </row>
    <row r="85" spans="3:22" ht="12.75" customHeight="1" x14ac:dyDescent="0.2">
      <c r="C85" s="13"/>
      <c r="D85" s="19"/>
      <c r="E85" s="782"/>
      <c r="F85" s="812"/>
      <c r="G85" s="813"/>
      <c r="H85" s="814"/>
      <c r="I85" s="705" t="s">
        <v>538</v>
      </c>
      <c r="J85" s="14"/>
      <c r="K85" s="805"/>
      <c r="L85" s="805"/>
      <c r="M85" s="805"/>
      <c r="N85" s="779"/>
      <c r="O85" s="779"/>
      <c r="P85" s="779"/>
      <c r="Q85" s="779"/>
      <c r="R85" s="791"/>
      <c r="S85" s="66"/>
      <c r="T85" s="110"/>
      <c r="U85" s="31"/>
      <c r="V85" s="14"/>
    </row>
    <row r="86" spans="3:22" ht="12.75" customHeight="1" x14ac:dyDescent="0.2">
      <c r="C86" s="13"/>
      <c r="D86" s="19"/>
      <c r="E86" s="783"/>
      <c r="F86" s="824"/>
      <c r="G86" s="825"/>
      <c r="H86" s="826"/>
      <c r="I86" s="705"/>
      <c r="J86" s="14"/>
      <c r="K86" s="808"/>
      <c r="L86" s="808"/>
      <c r="M86" s="808"/>
      <c r="N86" s="789"/>
      <c r="O86" s="789"/>
      <c r="P86" s="789"/>
      <c r="Q86" s="789"/>
      <c r="R86" s="792"/>
      <c r="S86" s="151" t="s">
        <v>87</v>
      </c>
      <c r="T86" s="109">
        <f>SUM(T82:T85)</f>
        <v>40000</v>
      </c>
      <c r="U86" s="31"/>
      <c r="V86" s="14"/>
    </row>
    <row r="87" spans="3:22" ht="12.75" customHeight="1" x14ac:dyDescent="0.2">
      <c r="C87" s="13"/>
      <c r="D87" s="19">
        <f>D82+1</f>
        <v>16</v>
      </c>
      <c r="E87" s="781" t="str">
        <f>'[4]ESC Cap Wks'!$A$107</f>
        <v>Streetlight Replacement to LED</v>
      </c>
      <c r="F87" s="795" t="s">
        <v>536</v>
      </c>
      <c r="G87" s="796"/>
      <c r="H87" s="797"/>
      <c r="I87" s="702" t="s">
        <v>525</v>
      </c>
      <c r="J87" s="14"/>
      <c r="K87" s="804">
        <v>0</v>
      </c>
      <c r="L87" s="804">
        <v>0</v>
      </c>
      <c r="M87" s="804">
        <v>1</v>
      </c>
      <c r="N87" s="778">
        <f>GETPIVOTDATA("Sum of 2016/17",'[4]ESC Cap Wks'!$A$3,"ACCOUNT NAME","Streetlight Replacement to LED","Statement of Capital Works - Asset Class","Other infrastructure","Statement of Capital Works - N/R/U","New asset expenditure")</f>
        <v>50000</v>
      </c>
      <c r="O87" s="778">
        <v>0</v>
      </c>
      <c r="P87" s="778">
        <v>0</v>
      </c>
      <c r="Q87" s="778">
        <v>0</v>
      </c>
      <c r="R87" s="790">
        <f>SUM(N87:Q91)</f>
        <v>50000</v>
      </c>
      <c r="S87" s="66" t="s">
        <v>111</v>
      </c>
      <c r="T87" s="110">
        <f>R87</f>
        <v>50000</v>
      </c>
      <c r="U87" s="31"/>
      <c r="V87" s="14"/>
    </row>
    <row r="88" spans="3:22" ht="12.75" customHeight="1" x14ac:dyDescent="0.2">
      <c r="C88" s="13"/>
      <c r="D88" s="19"/>
      <c r="E88" s="782"/>
      <c r="F88" s="798"/>
      <c r="G88" s="799"/>
      <c r="H88" s="800"/>
      <c r="I88" s="702" t="s">
        <v>537</v>
      </c>
      <c r="J88" s="14"/>
      <c r="K88" s="805"/>
      <c r="L88" s="805"/>
      <c r="M88" s="805"/>
      <c r="N88" s="779"/>
      <c r="O88" s="779"/>
      <c r="P88" s="779"/>
      <c r="Q88" s="779"/>
      <c r="R88" s="791"/>
      <c r="S88" s="66"/>
      <c r="T88" s="110"/>
      <c r="U88" s="31"/>
      <c r="V88" s="14"/>
    </row>
    <row r="89" spans="3:22" ht="12.75" customHeight="1" x14ac:dyDescent="0.2">
      <c r="C89" s="13"/>
      <c r="D89" s="19"/>
      <c r="E89" s="782"/>
      <c r="F89" s="798"/>
      <c r="G89" s="799"/>
      <c r="H89" s="800"/>
      <c r="I89" s="702" t="s">
        <v>533</v>
      </c>
      <c r="J89" s="14"/>
      <c r="K89" s="805"/>
      <c r="L89" s="805"/>
      <c r="M89" s="805"/>
      <c r="N89" s="779"/>
      <c r="O89" s="779"/>
      <c r="P89" s="779"/>
      <c r="Q89" s="779"/>
      <c r="R89" s="791"/>
      <c r="S89" s="66"/>
      <c r="T89" s="110"/>
      <c r="U89" s="31"/>
      <c r="V89" s="14"/>
    </row>
    <row r="90" spans="3:22" ht="12.75" customHeight="1" x14ac:dyDescent="0.2">
      <c r="C90" s="13"/>
      <c r="D90" s="19"/>
      <c r="E90" s="782"/>
      <c r="F90" s="798"/>
      <c r="G90" s="799"/>
      <c r="H90" s="800"/>
      <c r="I90" s="702" t="s">
        <v>538</v>
      </c>
      <c r="J90" s="14"/>
      <c r="K90" s="805"/>
      <c r="L90" s="805"/>
      <c r="M90" s="805"/>
      <c r="N90" s="779"/>
      <c r="O90" s="779"/>
      <c r="P90" s="779"/>
      <c r="Q90" s="779"/>
      <c r="R90" s="791"/>
      <c r="S90" s="66"/>
      <c r="T90" s="110"/>
      <c r="U90" s="31"/>
      <c r="V90" s="14"/>
    </row>
    <row r="91" spans="3:22" ht="12.75" customHeight="1" x14ac:dyDescent="0.2">
      <c r="C91" s="13"/>
      <c r="D91" s="19"/>
      <c r="E91" s="783"/>
      <c r="F91" s="801"/>
      <c r="G91" s="802"/>
      <c r="H91" s="803"/>
      <c r="I91" s="703"/>
      <c r="J91" s="14"/>
      <c r="K91" s="808"/>
      <c r="L91" s="808"/>
      <c r="M91" s="808"/>
      <c r="N91" s="789"/>
      <c r="O91" s="789"/>
      <c r="P91" s="789"/>
      <c r="Q91" s="789"/>
      <c r="R91" s="792"/>
      <c r="S91" s="151" t="s">
        <v>87</v>
      </c>
      <c r="T91" s="109">
        <f>SUM(T87:T90)</f>
        <v>50000</v>
      </c>
      <c r="U91" s="31"/>
      <c r="V91" s="14"/>
    </row>
    <row r="92" spans="3:22" ht="12.75" customHeight="1" x14ac:dyDescent="0.2">
      <c r="C92" s="13"/>
      <c r="D92" s="19">
        <f>D87+1</f>
        <v>17</v>
      </c>
      <c r="E92" s="781" t="str">
        <f>'[4]ESC Cap Wks'!$A$122</f>
        <v>Queenscliff Front Beach Boardwalk</v>
      </c>
      <c r="F92" s="821" t="s">
        <v>567</v>
      </c>
      <c r="G92" s="810"/>
      <c r="H92" s="811"/>
      <c r="I92" s="705" t="s">
        <v>515</v>
      </c>
      <c r="J92" s="14"/>
      <c r="K92" s="804">
        <v>0</v>
      </c>
      <c r="L92" s="804">
        <v>0</v>
      </c>
      <c r="M92" s="804">
        <v>1</v>
      </c>
      <c r="N92" s="778">
        <f>GETPIVOTDATA("Sum of 2016/17",'[4]ESC Cap Wks'!$A$3,"ACCOUNT NAME","Queenscliff Front Beach Boardwalk","Statement of Capital Works - Asset Class","Parks, open space and streetscapes","Statement of Capital Works - N/R/U","New asset expenditure")</f>
        <v>90000</v>
      </c>
      <c r="O92" s="778">
        <v>0</v>
      </c>
      <c r="P92" s="778">
        <v>0</v>
      </c>
      <c r="Q92" s="778">
        <v>0</v>
      </c>
      <c r="R92" s="790">
        <f>SUM(N92:Q96)</f>
        <v>90000</v>
      </c>
      <c r="S92" s="66" t="s">
        <v>111</v>
      </c>
      <c r="T92" s="110">
        <f>R92</f>
        <v>90000</v>
      </c>
      <c r="U92" s="31"/>
      <c r="V92" s="14"/>
    </row>
    <row r="93" spans="3:22" ht="12.75" customHeight="1" x14ac:dyDescent="0.2">
      <c r="C93" s="13"/>
      <c r="D93" s="19"/>
      <c r="E93" s="782"/>
      <c r="F93" s="812"/>
      <c r="G93" s="813"/>
      <c r="H93" s="814"/>
      <c r="I93" s="705" t="s">
        <v>519</v>
      </c>
      <c r="J93" s="14"/>
      <c r="K93" s="805"/>
      <c r="L93" s="805"/>
      <c r="M93" s="805"/>
      <c r="N93" s="779"/>
      <c r="O93" s="779"/>
      <c r="P93" s="779"/>
      <c r="Q93" s="779"/>
      <c r="R93" s="791"/>
      <c r="S93" s="66"/>
      <c r="T93" s="110"/>
      <c r="U93" s="31"/>
      <c r="V93" s="14"/>
    </row>
    <row r="94" spans="3:22" ht="12.75" customHeight="1" x14ac:dyDescent="0.2">
      <c r="C94" s="13"/>
      <c r="D94" s="19"/>
      <c r="E94" s="782"/>
      <c r="F94" s="812"/>
      <c r="G94" s="813"/>
      <c r="H94" s="814"/>
      <c r="I94" s="705" t="s">
        <v>525</v>
      </c>
      <c r="J94" s="14"/>
      <c r="K94" s="805"/>
      <c r="L94" s="805"/>
      <c r="M94" s="805"/>
      <c r="N94" s="779"/>
      <c r="O94" s="779"/>
      <c r="P94" s="779"/>
      <c r="Q94" s="779"/>
      <c r="R94" s="791"/>
      <c r="S94" s="66"/>
      <c r="T94" s="110"/>
      <c r="U94" s="31"/>
      <c r="V94" s="14"/>
    </row>
    <row r="95" spans="3:22" ht="12.75" customHeight="1" x14ac:dyDescent="0.2">
      <c r="C95" s="13"/>
      <c r="D95" s="19"/>
      <c r="E95" s="782"/>
      <c r="F95" s="812"/>
      <c r="G95" s="813"/>
      <c r="H95" s="814"/>
      <c r="I95" s="705" t="s">
        <v>516</v>
      </c>
      <c r="J95" s="14"/>
      <c r="K95" s="805"/>
      <c r="L95" s="805"/>
      <c r="M95" s="805"/>
      <c r="N95" s="779"/>
      <c r="O95" s="779"/>
      <c r="P95" s="779"/>
      <c r="Q95" s="779"/>
      <c r="R95" s="791"/>
      <c r="S95" s="66"/>
      <c r="T95" s="110"/>
      <c r="U95" s="31"/>
      <c r="V95" s="14"/>
    </row>
    <row r="96" spans="3:22" ht="12.75" customHeight="1" x14ac:dyDescent="0.2">
      <c r="C96" s="13"/>
      <c r="D96" s="19"/>
      <c r="E96" s="783"/>
      <c r="F96" s="824"/>
      <c r="G96" s="825"/>
      <c r="H96" s="826"/>
      <c r="I96" s="705"/>
      <c r="J96" s="14"/>
      <c r="K96" s="808"/>
      <c r="L96" s="808"/>
      <c r="M96" s="808"/>
      <c r="N96" s="789"/>
      <c r="O96" s="789"/>
      <c r="P96" s="789"/>
      <c r="Q96" s="789"/>
      <c r="R96" s="792"/>
      <c r="S96" s="151" t="s">
        <v>87</v>
      </c>
      <c r="T96" s="109">
        <f>SUM(T92:T95)</f>
        <v>90000</v>
      </c>
      <c r="U96" s="31"/>
      <c r="V96" s="14"/>
    </row>
    <row r="97" spans="3:22" x14ac:dyDescent="0.2">
      <c r="C97" s="13"/>
      <c r="D97" s="19">
        <f>D92+1</f>
        <v>18</v>
      </c>
      <c r="E97" s="781" t="str">
        <f>'[4]ESC Cap Wks'!$A$130</f>
        <v>Installation of CCTV cameras</v>
      </c>
      <c r="F97" s="821" t="s">
        <v>568</v>
      </c>
      <c r="G97" s="822"/>
      <c r="H97" s="823"/>
      <c r="I97" s="705" t="s">
        <v>538</v>
      </c>
      <c r="J97" s="14"/>
      <c r="K97" s="804">
        <v>0</v>
      </c>
      <c r="L97" s="804">
        <v>1</v>
      </c>
      <c r="M97" s="804">
        <v>0</v>
      </c>
      <c r="N97" s="778">
        <f>GETPIVOTDATA("Sum of 2016/17",'[4]ESC Cap Wks'!$A$3,"ACCOUNT NAME","Installation of CCTV cameras","Statement of Capital Works - Asset Class","Plant, machinery and equipment","Statement of Capital Works - N/R/U","New asset expenditure")</f>
        <v>7000</v>
      </c>
      <c r="O97" s="778">
        <v>0</v>
      </c>
      <c r="P97" s="778">
        <v>0</v>
      </c>
      <c r="Q97" s="778">
        <v>0</v>
      </c>
      <c r="R97" s="790">
        <f>SUM(N97:Q101)</f>
        <v>7000</v>
      </c>
      <c r="S97" s="66" t="s">
        <v>363</v>
      </c>
      <c r="T97" s="110">
        <f>R97</f>
        <v>7000</v>
      </c>
      <c r="U97" s="31"/>
      <c r="V97" s="14"/>
    </row>
    <row r="98" spans="3:22" x14ac:dyDescent="0.2">
      <c r="C98" s="13"/>
      <c r="D98" s="19"/>
      <c r="E98" s="782"/>
      <c r="F98" s="798"/>
      <c r="G98" s="799"/>
      <c r="H98" s="800"/>
      <c r="I98" s="705" t="s">
        <v>518</v>
      </c>
      <c r="J98" s="14"/>
      <c r="K98" s="805"/>
      <c r="L98" s="805"/>
      <c r="M98" s="805"/>
      <c r="N98" s="779"/>
      <c r="O98" s="779"/>
      <c r="P98" s="779"/>
      <c r="Q98" s="779"/>
      <c r="R98" s="791"/>
      <c r="S98" s="66"/>
      <c r="T98" s="110"/>
      <c r="U98" s="31"/>
      <c r="V98" s="14"/>
    </row>
    <row r="99" spans="3:22" x14ac:dyDescent="0.2">
      <c r="C99" s="13"/>
      <c r="D99" s="19"/>
      <c r="E99" s="782"/>
      <c r="F99" s="798"/>
      <c r="G99" s="799"/>
      <c r="H99" s="800"/>
      <c r="I99" s="705"/>
      <c r="J99" s="14"/>
      <c r="K99" s="805"/>
      <c r="L99" s="805"/>
      <c r="M99" s="805"/>
      <c r="N99" s="779"/>
      <c r="O99" s="779"/>
      <c r="P99" s="779"/>
      <c r="Q99" s="779"/>
      <c r="R99" s="791"/>
      <c r="S99" s="66"/>
      <c r="T99" s="110"/>
      <c r="U99" s="31"/>
      <c r="V99" s="14"/>
    </row>
    <row r="100" spans="3:22" x14ac:dyDescent="0.2">
      <c r="C100" s="13"/>
      <c r="D100" s="19"/>
      <c r="E100" s="782"/>
      <c r="F100" s="798"/>
      <c r="G100" s="799"/>
      <c r="H100" s="800"/>
      <c r="I100" s="705"/>
      <c r="J100" s="14"/>
      <c r="K100" s="805"/>
      <c r="L100" s="805"/>
      <c r="M100" s="805"/>
      <c r="N100" s="779"/>
      <c r="O100" s="779"/>
      <c r="P100" s="779"/>
      <c r="Q100" s="779"/>
      <c r="R100" s="791"/>
      <c r="S100" s="66"/>
      <c r="T100" s="110"/>
      <c r="U100" s="31"/>
      <c r="V100" s="14"/>
    </row>
    <row r="101" spans="3:22" x14ac:dyDescent="0.2">
      <c r="C101" s="13"/>
      <c r="D101" s="19"/>
      <c r="E101" s="783"/>
      <c r="F101" s="818"/>
      <c r="G101" s="819"/>
      <c r="H101" s="820"/>
      <c r="I101" s="705"/>
      <c r="J101" s="14"/>
      <c r="K101" s="808"/>
      <c r="L101" s="808"/>
      <c r="M101" s="808"/>
      <c r="N101" s="789"/>
      <c r="O101" s="789"/>
      <c r="P101" s="789"/>
      <c r="Q101" s="789"/>
      <c r="R101" s="792"/>
      <c r="S101" s="151" t="s">
        <v>87</v>
      </c>
      <c r="T101" s="109">
        <f>SUM(T97:T100)</f>
        <v>7000</v>
      </c>
      <c r="U101" s="31"/>
      <c r="V101" s="14"/>
    </row>
    <row r="102" spans="3:22" x14ac:dyDescent="0.2">
      <c r="C102" s="13"/>
      <c r="D102" s="19">
        <f>D97+1</f>
        <v>19</v>
      </c>
      <c r="E102" s="781" t="str">
        <f>'[4]ESC Cap Wks'!$A$141</f>
        <v>Queenscliff Recreation Reserve &amp; Caravan Parks Masterplan</v>
      </c>
      <c r="F102" s="821" t="s">
        <v>569</v>
      </c>
      <c r="G102" s="810"/>
      <c r="H102" s="811"/>
      <c r="I102" s="705" t="s">
        <v>516</v>
      </c>
      <c r="J102" s="14"/>
      <c r="K102" s="804">
        <v>0</v>
      </c>
      <c r="L102" s="804">
        <v>0</v>
      </c>
      <c r="M102" s="804">
        <v>1</v>
      </c>
      <c r="N102" s="778">
        <v>0</v>
      </c>
      <c r="O102" s="778">
        <v>0</v>
      </c>
      <c r="P102" s="778">
        <v>0</v>
      </c>
      <c r="Q102" s="778">
        <f>GETPIVOTDATA("Sum of 2016/17",'[4]ESC Cap Wks'!$A$3,"ACCOUNT NAME","Queenscliff Recreation Reserve &amp; Caravan Parks Masterplan","Statement of Capital Works - Asset Class","Recreational, leisure and community facilities","Statement of Capital Works - N/R/U","Asset upgrade expenditure")</f>
        <v>57000</v>
      </c>
      <c r="R102" s="790">
        <f>SUM(N102:Q106)</f>
        <v>57000</v>
      </c>
      <c r="S102" s="66" t="s">
        <v>111</v>
      </c>
      <c r="T102" s="110">
        <f>R102</f>
        <v>57000</v>
      </c>
      <c r="U102" s="31"/>
      <c r="V102" s="14"/>
    </row>
    <row r="103" spans="3:22" x14ac:dyDescent="0.2">
      <c r="C103" s="13"/>
      <c r="D103" s="19"/>
      <c r="E103" s="782"/>
      <c r="F103" s="812"/>
      <c r="G103" s="813"/>
      <c r="H103" s="814"/>
      <c r="I103" s="705" t="s">
        <v>514</v>
      </c>
      <c r="J103" s="14"/>
      <c r="K103" s="805"/>
      <c r="L103" s="805"/>
      <c r="M103" s="805"/>
      <c r="N103" s="779"/>
      <c r="O103" s="779"/>
      <c r="P103" s="779"/>
      <c r="Q103" s="779"/>
      <c r="R103" s="791"/>
      <c r="S103" s="66"/>
      <c r="T103" s="110"/>
      <c r="U103" s="31"/>
      <c r="V103" s="14"/>
    </row>
    <row r="104" spans="3:22" x14ac:dyDescent="0.2">
      <c r="C104" s="13"/>
      <c r="D104" s="19"/>
      <c r="E104" s="782"/>
      <c r="F104" s="812"/>
      <c r="G104" s="813"/>
      <c r="H104" s="814"/>
      <c r="I104" s="705" t="s">
        <v>518</v>
      </c>
      <c r="J104" s="14"/>
      <c r="K104" s="805"/>
      <c r="L104" s="805"/>
      <c r="M104" s="805"/>
      <c r="N104" s="779"/>
      <c r="O104" s="779"/>
      <c r="P104" s="779"/>
      <c r="Q104" s="779"/>
      <c r="R104" s="791"/>
      <c r="S104" s="66"/>
      <c r="T104" s="110"/>
      <c r="U104" s="31"/>
      <c r="V104" s="14"/>
    </row>
    <row r="105" spans="3:22" x14ac:dyDescent="0.2">
      <c r="C105" s="13"/>
      <c r="D105" s="19"/>
      <c r="E105" s="782"/>
      <c r="F105" s="812"/>
      <c r="G105" s="813"/>
      <c r="H105" s="814"/>
      <c r="I105" s="705" t="s">
        <v>519</v>
      </c>
      <c r="J105" s="14"/>
      <c r="K105" s="805"/>
      <c r="L105" s="805"/>
      <c r="M105" s="805"/>
      <c r="N105" s="779"/>
      <c r="O105" s="779"/>
      <c r="P105" s="779"/>
      <c r="Q105" s="779"/>
      <c r="R105" s="791"/>
      <c r="S105" s="66"/>
      <c r="T105" s="110"/>
      <c r="U105" s="31"/>
      <c r="V105" s="14"/>
    </row>
    <row r="106" spans="3:22" x14ac:dyDescent="0.2">
      <c r="C106" s="13"/>
      <c r="D106" s="19"/>
      <c r="E106" s="783"/>
      <c r="F106" s="824"/>
      <c r="G106" s="825"/>
      <c r="H106" s="826"/>
      <c r="I106" s="705" t="s">
        <v>515</v>
      </c>
      <c r="J106" s="14"/>
      <c r="K106" s="808"/>
      <c r="L106" s="808"/>
      <c r="M106" s="808"/>
      <c r="N106" s="789"/>
      <c r="O106" s="789"/>
      <c r="P106" s="789"/>
      <c r="Q106" s="789"/>
      <c r="R106" s="792"/>
      <c r="S106" s="151" t="s">
        <v>87</v>
      </c>
      <c r="T106" s="109">
        <f>SUM(T102:T105)</f>
        <v>57000</v>
      </c>
      <c r="U106" s="31"/>
      <c r="V106" s="14"/>
    </row>
    <row r="107" spans="3:22" ht="12.75" customHeight="1" x14ac:dyDescent="0.2">
      <c r="C107" s="13"/>
      <c r="D107" s="19">
        <f>D102+1</f>
        <v>20</v>
      </c>
      <c r="E107" s="781" t="str">
        <f>'[4]ESC Cap Wks'!$A$143</f>
        <v>Improve the amenity of vacant land adjacent to Town Hall</v>
      </c>
      <c r="F107" s="821" t="s">
        <v>570</v>
      </c>
      <c r="G107" s="810"/>
      <c r="H107" s="811"/>
      <c r="I107" s="705" t="s">
        <v>514</v>
      </c>
      <c r="J107" s="14"/>
      <c r="K107" s="804">
        <v>0</v>
      </c>
      <c r="L107" s="804">
        <v>0</v>
      </c>
      <c r="M107" s="804">
        <v>1</v>
      </c>
      <c r="N107" s="778">
        <f>GETPIVOTDATA("Sum of 2016/17",'[4]ESC Cap Wks'!$A$3,"ACCOUNT NAME","Improve the amenity of vacant land adjacent to Town Hall","Statement of Capital Works - Asset Class","Recreational, leisure and community facilities","Statement of Capital Works - N/R/U","New asset expenditure")</f>
        <v>8000</v>
      </c>
      <c r="O107" s="778">
        <v>0</v>
      </c>
      <c r="P107" s="778">
        <v>0</v>
      </c>
      <c r="Q107" s="778">
        <v>0</v>
      </c>
      <c r="R107" s="790">
        <f>SUM(N107:Q111)</f>
        <v>8000</v>
      </c>
      <c r="S107" s="66" t="s">
        <v>363</v>
      </c>
      <c r="T107" s="110">
        <f>R107</f>
        <v>8000</v>
      </c>
      <c r="U107" s="31"/>
      <c r="V107" s="14"/>
    </row>
    <row r="108" spans="3:22" ht="12.75" customHeight="1" x14ac:dyDescent="0.2">
      <c r="C108" s="13"/>
      <c r="D108" s="19"/>
      <c r="E108" s="782"/>
      <c r="F108" s="812"/>
      <c r="G108" s="813"/>
      <c r="H108" s="814"/>
      <c r="I108" s="705" t="s">
        <v>516</v>
      </c>
      <c r="J108" s="14"/>
      <c r="K108" s="805"/>
      <c r="L108" s="805"/>
      <c r="M108" s="805"/>
      <c r="N108" s="779"/>
      <c r="O108" s="779"/>
      <c r="P108" s="779"/>
      <c r="Q108" s="779"/>
      <c r="R108" s="791"/>
      <c r="S108" s="66"/>
      <c r="T108" s="110"/>
      <c r="U108" s="31"/>
      <c r="V108" s="14"/>
    </row>
    <row r="109" spans="3:22" ht="12.75" customHeight="1" x14ac:dyDescent="0.2">
      <c r="C109" s="13"/>
      <c r="D109" s="19"/>
      <c r="E109" s="782"/>
      <c r="F109" s="812"/>
      <c r="G109" s="813"/>
      <c r="H109" s="814"/>
      <c r="I109" s="705" t="s">
        <v>515</v>
      </c>
      <c r="J109" s="14"/>
      <c r="K109" s="805"/>
      <c r="L109" s="805"/>
      <c r="M109" s="805"/>
      <c r="N109" s="779"/>
      <c r="O109" s="779"/>
      <c r="P109" s="779"/>
      <c r="Q109" s="779"/>
      <c r="R109" s="791"/>
      <c r="S109" s="66"/>
      <c r="T109" s="110"/>
      <c r="U109" s="31"/>
      <c r="V109" s="14"/>
    </row>
    <row r="110" spans="3:22" ht="12.75" customHeight="1" x14ac:dyDescent="0.2">
      <c r="C110" s="13"/>
      <c r="D110" s="19"/>
      <c r="E110" s="782"/>
      <c r="F110" s="812"/>
      <c r="G110" s="813"/>
      <c r="H110" s="814"/>
      <c r="I110" s="705" t="s">
        <v>526</v>
      </c>
      <c r="J110" s="14"/>
      <c r="K110" s="805"/>
      <c r="L110" s="805"/>
      <c r="M110" s="805"/>
      <c r="N110" s="779"/>
      <c r="O110" s="779"/>
      <c r="P110" s="779"/>
      <c r="Q110" s="779"/>
      <c r="R110" s="791"/>
      <c r="S110" s="66"/>
      <c r="T110" s="110"/>
      <c r="U110" s="31"/>
      <c r="V110" s="14"/>
    </row>
    <row r="111" spans="3:22" ht="12.75" customHeight="1" x14ac:dyDescent="0.2">
      <c r="C111" s="13"/>
      <c r="D111" s="19"/>
      <c r="E111" s="783"/>
      <c r="F111" s="824"/>
      <c r="G111" s="825"/>
      <c r="H111" s="826"/>
      <c r="I111" s="705"/>
      <c r="J111" s="14"/>
      <c r="K111" s="808"/>
      <c r="L111" s="808"/>
      <c r="M111" s="808"/>
      <c r="N111" s="789"/>
      <c r="O111" s="789"/>
      <c r="P111" s="789"/>
      <c r="Q111" s="789"/>
      <c r="R111" s="792"/>
      <c r="S111" s="151" t="s">
        <v>87</v>
      </c>
      <c r="T111" s="109">
        <f>SUM(T107:T110)</f>
        <v>8000</v>
      </c>
      <c r="U111" s="31"/>
      <c r="V111" s="14"/>
    </row>
    <row r="112" spans="3:22" x14ac:dyDescent="0.2">
      <c r="C112" s="13"/>
      <c r="D112" s="19">
        <f>D107+1</f>
        <v>21</v>
      </c>
      <c r="E112" s="793" t="s">
        <v>504</v>
      </c>
      <c r="F112" s="795" t="s">
        <v>546</v>
      </c>
      <c r="G112" s="796"/>
      <c r="H112" s="797"/>
      <c r="I112" s="702" t="s">
        <v>514</v>
      </c>
      <c r="J112" s="14"/>
      <c r="K112" s="804">
        <v>1</v>
      </c>
      <c r="L112" s="804">
        <v>0</v>
      </c>
      <c r="M112" s="804">
        <v>0</v>
      </c>
      <c r="N112" s="778"/>
      <c r="O112" s="778">
        <f>SUM('[4]ESC Cap Wks'!$B$33:$B$36)</f>
        <v>72162.209999999992</v>
      </c>
      <c r="P112" s="778"/>
      <c r="Q112" s="778"/>
      <c r="R112" s="790">
        <f>SUM(N112:Q116)</f>
        <v>72162.209999999992</v>
      </c>
      <c r="S112" s="66" t="s">
        <v>363</v>
      </c>
      <c r="T112" s="110">
        <f>R112-T113</f>
        <v>61162.209999999992</v>
      </c>
      <c r="U112" s="31"/>
      <c r="V112" s="14"/>
    </row>
    <row r="113" spans="3:22" x14ac:dyDescent="0.2">
      <c r="C113" s="13"/>
      <c r="D113" s="19"/>
      <c r="E113" s="782"/>
      <c r="F113" s="798"/>
      <c r="G113" s="799"/>
      <c r="H113" s="800"/>
      <c r="I113" s="702"/>
      <c r="J113" s="14"/>
      <c r="K113" s="805"/>
      <c r="L113" s="805"/>
      <c r="M113" s="805"/>
      <c r="N113" s="779"/>
      <c r="O113" s="779"/>
      <c r="P113" s="779"/>
      <c r="Q113" s="779"/>
      <c r="R113" s="791"/>
      <c r="S113" s="66" t="s">
        <v>111</v>
      </c>
      <c r="T113" s="110">
        <v>11000</v>
      </c>
      <c r="U113" s="31"/>
      <c r="V113" s="14"/>
    </row>
    <row r="114" spans="3:22" x14ac:dyDescent="0.2">
      <c r="C114" s="13"/>
      <c r="D114" s="19"/>
      <c r="E114" s="782"/>
      <c r="F114" s="798"/>
      <c r="G114" s="799"/>
      <c r="H114" s="800"/>
      <c r="I114" s="702"/>
      <c r="J114" s="14"/>
      <c r="K114" s="805"/>
      <c r="L114" s="805"/>
      <c r="M114" s="805"/>
      <c r="N114" s="779"/>
      <c r="O114" s="779"/>
      <c r="P114" s="779"/>
      <c r="Q114" s="779"/>
      <c r="R114" s="791"/>
      <c r="S114" s="66"/>
      <c r="T114" s="110"/>
      <c r="U114" s="31"/>
      <c r="V114" s="14"/>
    </row>
    <row r="115" spans="3:22" x14ac:dyDescent="0.2">
      <c r="C115" s="13"/>
      <c r="D115" s="19"/>
      <c r="E115" s="782"/>
      <c r="F115" s="798"/>
      <c r="G115" s="799"/>
      <c r="H115" s="800"/>
      <c r="I115" s="702"/>
      <c r="J115" s="14"/>
      <c r="K115" s="805"/>
      <c r="L115" s="805"/>
      <c r="M115" s="805"/>
      <c r="N115" s="779"/>
      <c r="O115" s="779"/>
      <c r="P115" s="779"/>
      <c r="Q115" s="779"/>
      <c r="R115" s="791"/>
      <c r="S115" s="66"/>
      <c r="T115" s="110"/>
      <c r="U115" s="31"/>
      <c r="V115" s="14"/>
    </row>
    <row r="116" spans="3:22" x14ac:dyDescent="0.2">
      <c r="C116" s="13"/>
      <c r="D116" s="19"/>
      <c r="E116" s="794"/>
      <c r="F116" s="801"/>
      <c r="G116" s="802"/>
      <c r="H116" s="803"/>
      <c r="I116" s="703"/>
      <c r="J116" s="14"/>
      <c r="K116" s="806"/>
      <c r="L116" s="806"/>
      <c r="M116" s="806"/>
      <c r="N116" s="789"/>
      <c r="O116" s="789"/>
      <c r="P116" s="789"/>
      <c r="Q116" s="789"/>
      <c r="R116" s="792"/>
      <c r="S116" s="151" t="s">
        <v>87</v>
      </c>
      <c r="T116" s="109">
        <f>SUM(T112:T115)</f>
        <v>72162.209999999992</v>
      </c>
      <c r="U116" s="31"/>
      <c r="V116" s="14"/>
    </row>
    <row r="117" spans="3:22" ht="12.75" customHeight="1" x14ac:dyDescent="0.2">
      <c r="C117" s="13"/>
      <c r="D117" s="19">
        <f>D112+1</f>
        <v>22</v>
      </c>
      <c r="E117" s="793" t="s">
        <v>505</v>
      </c>
      <c r="F117" s="795" t="s">
        <v>547</v>
      </c>
      <c r="G117" s="796"/>
      <c r="H117" s="797"/>
      <c r="I117" s="702" t="s">
        <v>514</v>
      </c>
      <c r="J117" s="14"/>
      <c r="K117" s="804">
        <v>0</v>
      </c>
      <c r="L117" s="804">
        <v>1</v>
      </c>
      <c r="M117" s="804">
        <v>0</v>
      </c>
      <c r="N117" s="778"/>
      <c r="O117" s="778">
        <f>GETPIVOTDATA("Sum of 2016/17",'[4]ESC Cap Wks'!$A$3,"ACCOUNT NAME","Annual Renewal Program - Renewal Other Assets - Renewal computer and telephone equipment","Statement of Capital Works - Asset Class","Computers and telecommunications","Statement of Capital Works - N/R/U","Asset renewal expenditure")</f>
        <v>58800</v>
      </c>
      <c r="P117" s="778"/>
      <c r="Q117" s="778"/>
      <c r="R117" s="790">
        <f>SUM(N117:Q121)</f>
        <v>58800</v>
      </c>
      <c r="S117" s="66" t="s">
        <v>363</v>
      </c>
      <c r="T117" s="110">
        <v>30000</v>
      </c>
      <c r="U117" s="31"/>
      <c r="V117" s="14"/>
    </row>
    <row r="118" spans="3:22" ht="12.75" customHeight="1" x14ac:dyDescent="0.2">
      <c r="C118" s="13"/>
      <c r="D118" s="19"/>
      <c r="E118" s="782"/>
      <c r="F118" s="798"/>
      <c r="G118" s="799"/>
      <c r="H118" s="800"/>
      <c r="I118" s="702"/>
      <c r="J118" s="14"/>
      <c r="K118" s="805"/>
      <c r="L118" s="805"/>
      <c r="M118" s="805"/>
      <c r="N118" s="779"/>
      <c r="O118" s="779"/>
      <c r="P118" s="779"/>
      <c r="Q118" s="779"/>
      <c r="R118" s="791"/>
      <c r="S118" s="66" t="s">
        <v>111</v>
      </c>
      <c r="T118" s="110">
        <v>28800</v>
      </c>
      <c r="U118" s="31"/>
      <c r="V118" s="14"/>
    </row>
    <row r="119" spans="3:22" ht="12.75" customHeight="1" x14ac:dyDescent="0.2">
      <c r="C119" s="13"/>
      <c r="D119" s="19"/>
      <c r="E119" s="782"/>
      <c r="F119" s="798"/>
      <c r="G119" s="799"/>
      <c r="H119" s="800"/>
      <c r="I119" s="702"/>
      <c r="J119" s="14"/>
      <c r="K119" s="805"/>
      <c r="L119" s="805"/>
      <c r="M119" s="805"/>
      <c r="N119" s="779"/>
      <c r="O119" s="779"/>
      <c r="P119" s="779"/>
      <c r="Q119" s="779"/>
      <c r="R119" s="791"/>
      <c r="S119" s="66"/>
      <c r="T119" s="110"/>
      <c r="U119" s="31"/>
      <c r="V119" s="14"/>
    </row>
    <row r="120" spans="3:22" ht="12.75" customHeight="1" x14ac:dyDescent="0.2">
      <c r="C120" s="13"/>
      <c r="D120" s="19"/>
      <c r="E120" s="782"/>
      <c r="F120" s="798"/>
      <c r="G120" s="799"/>
      <c r="H120" s="800"/>
      <c r="I120" s="702"/>
      <c r="J120" s="14"/>
      <c r="K120" s="805"/>
      <c r="L120" s="805"/>
      <c r="M120" s="805"/>
      <c r="N120" s="779"/>
      <c r="O120" s="779"/>
      <c r="P120" s="779"/>
      <c r="Q120" s="779"/>
      <c r="R120" s="791"/>
      <c r="S120" s="66"/>
      <c r="T120" s="110"/>
      <c r="U120" s="31"/>
      <c r="V120" s="14"/>
    </row>
    <row r="121" spans="3:22" ht="12.75" customHeight="1" x14ac:dyDescent="0.2">
      <c r="C121" s="13"/>
      <c r="D121" s="19"/>
      <c r="E121" s="794"/>
      <c r="F121" s="801"/>
      <c r="G121" s="802"/>
      <c r="H121" s="803"/>
      <c r="I121" s="703"/>
      <c r="J121" s="14"/>
      <c r="K121" s="806"/>
      <c r="L121" s="806"/>
      <c r="M121" s="806"/>
      <c r="N121" s="789"/>
      <c r="O121" s="789"/>
      <c r="P121" s="789"/>
      <c r="Q121" s="789"/>
      <c r="R121" s="792"/>
      <c r="S121" s="151" t="s">
        <v>87</v>
      </c>
      <c r="T121" s="109">
        <f>SUM(T117:T120)</f>
        <v>58800</v>
      </c>
      <c r="U121" s="31"/>
      <c r="V121" s="14"/>
    </row>
    <row r="122" spans="3:22" ht="12.75" customHeight="1" x14ac:dyDescent="0.2">
      <c r="C122" s="13"/>
      <c r="D122" s="19">
        <f>D117+1</f>
        <v>23</v>
      </c>
      <c r="E122" s="793" t="s">
        <v>506</v>
      </c>
      <c r="F122" s="795" t="s">
        <v>548</v>
      </c>
      <c r="G122" s="796"/>
      <c r="H122" s="797"/>
      <c r="I122" s="702" t="s">
        <v>514</v>
      </c>
      <c r="J122" s="14"/>
      <c r="K122" s="804">
        <v>0</v>
      </c>
      <c r="L122" s="804">
        <v>0</v>
      </c>
      <c r="M122" s="804">
        <v>1</v>
      </c>
      <c r="N122" s="778"/>
      <c r="O122" s="778">
        <f>GETPIVOTDATA("Sum of 2016/17",'[4]ESC Cap Wks'!$A$3,"ACCOUNT NAME","Annual Renewal Program - Renewal Infrastructure - Renewal Drainage","Statement of Capital Works - Asset Class","Drainage","Statement of Capital Works - N/R/U","Asset renewal expenditure")</f>
        <v>45000</v>
      </c>
      <c r="P122" s="778"/>
      <c r="Q122" s="778"/>
      <c r="R122" s="790">
        <f>SUM(N122:Q126)</f>
        <v>45000</v>
      </c>
      <c r="S122" s="66" t="s">
        <v>363</v>
      </c>
      <c r="T122" s="110">
        <v>35000</v>
      </c>
      <c r="U122" s="31"/>
      <c r="V122" s="14"/>
    </row>
    <row r="123" spans="3:22" ht="12.75" customHeight="1" x14ac:dyDescent="0.2">
      <c r="C123" s="13"/>
      <c r="D123" s="19"/>
      <c r="E123" s="782"/>
      <c r="F123" s="798"/>
      <c r="G123" s="799"/>
      <c r="H123" s="800"/>
      <c r="I123" s="702"/>
      <c r="J123" s="14"/>
      <c r="K123" s="805"/>
      <c r="L123" s="805"/>
      <c r="M123" s="805"/>
      <c r="N123" s="779"/>
      <c r="O123" s="779"/>
      <c r="P123" s="779"/>
      <c r="Q123" s="779"/>
      <c r="R123" s="791"/>
      <c r="S123" s="66" t="s">
        <v>111</v>
      </c>
      <c r="T123" s="110">
        <v>10000</v>
      </c>
      <c r="U123" s="31"/>
      <c r="V123" s="14"/>
    </row>
    <row r="124" spans="3:22" ht="12.75" customHeight="1" x14ac:dyDescent="0.2">
      <c r="C124" s="13"/>
      <c r="D124" s="19"/>
      <c r="E124" s="782"/>
      <c r="F124" s="798"/>
      <c r="G124" s="799"/>
      <c r="H124" s="800"/>
      <c r="I124" s="702"/>
      <c r="J124" s="14"/>
      <c r="K124" s="805"/>
      <c r="L124" s="805"/>
      <c r="M124" s="805"/>
      <c r="N124" s="779"/>
      <c r="O124" s="779"/>
      <c r="P124" s="779"/>
      <c r="Q124" s="779"/>
      <c r="R124" s="791"/>
      <c r="S124" s="66"/>
      <c r="T124" s="110"/>
      <c r="U124" s="31"/>
      <c r="V124" s="14"/>
    </row>
    <row r="125" spans="3:22" ht="12.75" customHeight="1" x14ac:dyDescent="0.2">
      <c r="C125" s="13"/>
      <c r="D125" s="19"/>
      <c r="E125" s="782"/>
      <c r="F125" s="798"/>
      <c r="G125" s="799"/>
      <c r="H125" s="800"/>
      <c r="I125" s="702"/>
      <c r="J125" s="14"/>
      <c r="K125" s="805"/>
      <c r="L125" s="805"/>
      <c r="M125" s="805"/>
      <c r="N125" s="779"/>
      <c r="O125" s="779"/>
      <c r="P125" s="779"/>
      <c r="Q125" s="779"/>
      <c r="R125" s="791"/>
      <c r="S125" s="66"/>
      <c r="T125" s="110"/>
      <c r="U125" s="31"/>
      <c r="V125" s="14"/>
    </row>
    <row r="126" spans="3:22" ht="12.75" customHeight="1" x14ac:dyDescent="0.2">
      <c r="C126" s="13"/>
      <c r="D126" s="19"/>
      <c r="E126" s="794"/>
      <c r="F126" s="801"/>
      <c r="G126" s="802"/>
      <c r="H126" s="803"/>
      <c r="I126" s="703"/>
      <c r="J126" s="14"/>
      <c r="K126" s="806"/>
      <c r="L126" s="806"/>
      <c r="M126" s="806"/>
      <c r="N126" s="789"/>
      <c r="O126" s="789"/>
      <c r="P126" s="789"/>
      <c r="Q126" s="789"/>
      <c r="R126" s="792"/>
      <c r="S126" s="151" t="s">
        <v>87</v>
      </c>
      <c r="T126" s="109">
        <f>SUM(T122:T125)</f>
        <v>45000</v>
      </c>
      <c r="U126" s="31"/>
      <c r="V126" s="14"/>
    </row>
    <row r="127" spans="3:22" ht="12.75" customHeight="1" x14ac:dyDescent="0.2">
      <c r="C127" s="13"/>
      <c r="D127" s="19">
        <f>D122+1</f>
        <v>24</v>
      </c>
      <c r="E127" s="793" t="s">
        <v>507</v>
      </c>
      <c r="F127" s="795" t="s">
        <v>549</v>
      </c>
      <c r="G127" s="796"/>
      <c r="H127" s="797"/>
      <c r="I127" s="702" t="s">
        <v>514</v>
      </c>
      <c r="J127" s="14"/>
      <c r="K127" s="804">
        <v>0</v>
      </c>
      <c r="L127" s="804">
        <v>1</v>
      </c>
      <c r="M127" s="804">
        <v>0</v>
      </c>
      <c r="N127" s="778"/>
      <c r="O127" s="778">
        <f>GETPIVOTDATA("Sum of 2016/17",'[4]ESC Cap Wks'!$A$3,"ACCOUNT NAME","Annual Renewal Program - Renewal Other Assets - Renewal fixtures and fittings","Statement of Capital Works - Asset Class","Fixtures, fittings and furniture","Statement of Capital Works - N/R/U","Asset renewal expenditure")</f>
        <v>5000</v>
      </c>
      <c r="P127" s="778"/>
      <c r="Q127" s="778"/>
      <c r="R127" s="790">
        <f>SUM(N127:Q131)</f>
        <v>5000</v>
      </c>
      <c r="S127" s="66" t="s">
        <v>363</v>
      </c>
      <c r="T127" s="110">
        <f>R127</f>
        <v>5000</v>
      </c>
      <c r="U127" s="31"/>
      <c r="V127" s="14"/>
    </row>
    <row r="128" spans="3:22" ht="12.75" customHeight="1" x14ac:dyDescent="0.2">
      <c r="C128" s="13"/>
      <c r="D128" s="19"/>
      <c r="E128" s="782"/>
      <c r="F128" s="798"/>
      <c r="G128" s="799"/>
      <c r="H128" s="800"/>
      <c r="I128" s="702"/>
      <c r="J128" s="14"/>
      <c r="K128" s="805"/>
      <c r="L128" s="805"/>
      <c r="M128" s="805"/>
      <c r="N128" s="779"/>
      <c r="O128" s="779"/>
      <c r="P128" s="779"/>
      <c r="Q128" s="779"/>
      <c r="R128" s="791"/>
      <c r="S128" s="66"/>
      <c r="T128" s="110"/>
      <c r="U128" s="31"/>
      <c r="V128" s="14"/>
    </row>
    <row r="129" spans="3:22" ht="12.75" customHeight="1" x14ac:dyDescent="0.2">
      <c r="C129" s="13"/>
      <c r="D129" s="19"/>
      <c r="E129" s="782"/>
      <c r="F129" s="798"/>
      <c r="G129" s="799"/>
      <c r="H129" s="800"/>
      <c r="I129" s="702"/>
      <c r="J129" s="14"/>
      <c r="K129" s="805"/>
      <c r="L129" s="805"/>
      <c r="M129" s="805"/>
      <c r="N129" s="779"/>
      <c r="O129" s="779"/>
      <c r="P129" s="779"/>
      <c r="Q129" s="779"/>
      <c r="R129" s="791"/>
      <c r="S129" s="66"/>
      <c r="T129" s="110"/>
      <c r="U129" s="31"/>
      <c r="V129" s="14"/>
    </row>
    <row r="130" spans="3:22" ht="12.75" customHeight="1" x14ac:dyDescent="0.2">
      <c r="C130" s="13"/>
      <c r="D130" s="19"/>
      <c r="E130" s="782"/>
      <c r="F130" s="798"/>
      <c r="G130" s="799"/>
      <c r="H130" s="800"/>
      <c r="I130" s="702"/>
      <c r="J130" s="14"/>
      <c r="K130" s="805"/>
      <c r="L130" s="805"/>
      <c r="M130" s="805"/>
      <c r="N130" s="779"/>
      <c r="O130" s="779"/>
      <c r="P130" s="779"/>
      <c r="Q130" s="779"/>
      <c r="R130" s="791"/>
      <c r="S130" s="66"/>
      <c r="T130" s="110"/>
      <c r="U130" s="31"/>
      <c r="V130" s="14"/>
    </row>
    <row r="131" spans="3:22" ht="12.75" customHeight="1" x14ac:dyDescent="0.2">
      <c r="C131" s="13"/>
      <c r="D131" s="19"/>
      <c r="E131" s="794"/>
      <c r="F131" s="801"/>
      <c r="G131" s="802"/>
      <c r="H131" s="803"/>
      <c r="I131" s="703"/>
      <c r="J131" s="14"/>
      <c r="K131" s="806"/>
      <c r="L131" s="806"/>
      <c r="M131" s="806"/>
      <c r="N131" s="789"/>
      <c r="O131" s="789"/>
      <c r="P131" s="789"/>
      <c r="Q131" s="789"/>
      <c r="R131" s="792"/>
      <c r="S131" s="151" t="s">
        <v>87</v>
      </c>
      <c r="T131" s="109">
        <f>SUM(T127:T130)</f>
        <v>5000</v>
      </c>
      <c r="U131" s="31"/>
      <c r="V131" s="14"/>
    </row>
    <row r="132" spans="3:22" ht="12.75" customHeight="1" x14ac:dyDescent="0.2">
      <c r="C132" s="13"/>
      <c r="D132" s="19">
        <f>D127+1</f>
        <v>25</v>
      </c>
      <c r="E132" s="793" t="s">
        <v>513</v>
      </c>
      <c r="F132" s="809" t="s">
        <v>550</v>
      </c>
      <c r="G132" s="810"/>
      <c r="H132" s="811"/>
      <c r="I132" s="702" t="s">
        <v>514</v>
      </c>
      <c r="J132" s="14"/>
      <c r="K132" s="804">
        <v>0</v>
      </c>
      <c r="L132" s="804">
        <v>0</v>
      </c>
      <c r="M132" s="804">
        <v>1</v>
      </c>
      <c r="N132" s="778"/>
      <c r="O132" s="778">
        <f>GETPIVOTDATA("Sum of 2016/17",'[4]ESC Cap Wks'!$A$3,"ACCOUNT NAME","Annual Renewal Program - Renewal Infrastructure - Renewal Footpaths","Statement of Capital Works - Asset Class","Footpaths and cycleways","Statement of Capital Works - N/R/U","Asset renewal expenditure")</f>
        <v>12000</v>
      </c>
      <c r="P132" s="778"/>
      <c r="Q132" s="778"/>
      <c r="R132" s="790">
        <f>SUM(N132:Q136)</f>
        <v>12000</v>
      </c>
      <c r="S132" s="66" t="s">
        <v>363</v>
      </c>
      <c r="T132" s="110">
        <f>R132</f>
        <v>12000</v>
      </c>
      <c r="U132" s="31"/>
      <c r="V132" s="14"/>
    </row>
    <row r="133" spans="3:22" ht="12.75" customHeight="1" x14ac:dyDescent="0.2">
      <c r="C133" s="13"/>
      <c r="D133" s="19"/>
      <c r="E133" s="782"/>
      <c r="F133" s="812"/>
      <c r="G133" s="813"/>
      <c r="H133" s="814"/>
      <c r="I133" s="702" t="s">
        <v>516</v>
      </c>
      <c r="J133" s="14"/>
      <c r="K133" s="805"/>
      <c r="L133" s="805"/>
      <c r="M133" s="805"/>
      <c r="N133" s="779"/>
      <c r="O133" s="779"/>
      <c r="P133" s="779"/>
      <c r="Q133" s="779"/>
      <c r="R133" s="791"/>
      <c r="S133" s="66"/>
      <c r="T133" s="110"/>
      <c r="U133" s="31"/>
      <c r="V133" s="14"/>
    </row>
    <row r="134" spans="3:22" ht="12.75" customHeight="1" x14ac:dyDescent="0.2">
      <c r="C134" s="13"/>
      <c r="D134" s="19"/>
      <c r="E134" s="782"/>
      <c r="F134" s="812"/>
      <c r="G134" s="813"/>
      <c r="H134" s="814"/>
      <c r="I134" s="702" t="s">
        <v>515</v>
      </c>
      <c r="J134" s="14"/>
      <c r="K134" s="805"/>
      <c r="L134" s="805"/>
      <c r="M134" s="805"/>
      <c r="N134" s="779"/>
      <c r="O134" s="779"/>
      <c r="P134" s="779"/>
      <c r="Q134" s="779"/>
      <c r="R134" s="791"/>
      <c r="S134" s="66"/>
      <c r="T134" s="110"/>
      <c r="U134" s="31"/>
      <c r="V134" s="14"/>
    </row>
    <row r="135" spans="3:22" ht="12.75" customHeight="1" x14ac:dyDescent="0.2">
      <c r="C135" s="13"/>
      <c r="D135" s="19"/>
      <c r="E135" s="782"/>
      <c r="F135" s="812"/>
      <c r="G135" s="813"/>
      <c r="H135" s="814"/>
      <c r="I135" s="702"/>
      <c r="J135" s="14"/>
      <c r="K135" s="805"/>
      <c r="L135" s="805"/>
      <c r="M135" s="805"/>
      <c r="N135" s="779"/>
      <c r="O135" s="779"/>
      <c r="P135" s="779"/>
      <c r="Q135" s="779"/>
      <c r="R135" s="791"/>
      <c r="S135" s="66"/>
      <c r="T135" s="110"/>
      <c r="U135" s="31"/>
      <c r="V135" s="14"/>
    </row>
    <row r="136" spans="3:22" ht="12.75" customHeight="1" x14ac:dyDescent="0.2">
      <c r="C136" s="13"/>
      <c r="D136" s="19"/>
      <c r="E136" s="794"/>
      <c r="F136" s="815"/>
      <c r="G136" s="816"/>
      <c r="H136" s="817"/>
      <c r="I136" s="703"/>
      <c r="J136" s="14"/>
      <c r="K136" s="806"/>
      <c r="L136" s="806"/>
      <c r="M136" s="806"/>
      <c r="N136" s="789"/>
      <c r="O136" s="789"/>
      <c r="P136" s="789"/>
      <c r="Q136" s="789"/>
      <c r="R136" s="792"/>
      <c r="S136" s="151" t="s">
        <v>87</v>
      </c>
      <c r="T136" s="109">
        <f>SUM(T132:T135)</f>
        <v>12000</v>
      </c>
      <c r="U136" s="31"/>
      <c r="V136" s="14"/>
    </row>
    <row r="137" spans="3:22" ht="12.75" customHeight="1" x14ac:dyDescent="0.2">
      <c r="C137" s="13"/>
      <c r="D137" s="19">
        <f>D132+1</f>
        <v>26</v>
      </c>
      <c r="E137" s="793" t="s">
        <v>509</v>
      </c>
      <c r="F137" s="809" t="s">
        <v>551</v>
      </c>
      <c r="G137" s="810"/>
      <c r="H137" s="811"/>
      <c r="I137" s="702" t="s">
        <v>514</v>
      </c>
      <c r="J137" s="14"/>
      <c r="K137" s="804">
        <v>0</v>
      </c>
      <c r="L137" s="804">
        <v>0</v>
      </c>
      <c r="M137" s="804">
        <v>1</v>
      </c>
      <c r="N137" s="778"/>
      <c r="O137" s="778">
        <f>SUM('[4]ESC Cap Wks'!$B$148:$B$152)</f>
        <v>81000</v>
      </c>
      <c r="P137" s="778"/>
      <c r="Q137" s="778"/>
      <c r="R137" s="790">
        <f>SUM(N137:Q141)</f>
        <v>81000</v>
      </c>
      <c r="S137" s="66" t="s">
        <v>363</v>
      </c>
      <c r="T137" s="110">
        <f>R137</f>
        <v>81000</v>
      </c>
      <c r="U137" s="31"/>
      <c r="V137" s="14"/>
    </row>
    <row r="138" spans="3:22" ht="12.75" customHeight="1" x14ac:dyDescent="0.2">
      <c r="C138" s="13"/>
      <c r="D138" s="19"/>
      <c r="E138" s="782"/>
      <c r="F138" s="812"/>
      <c r="G138" s="813"/>
      <c r="H138" s="814"/>
      <c r="I138" s="702"/>
      <c r="J138" s="14"/>
      <c r="K138" s="805"/>
      <c r="L138" s="805"/>
      <c r="M138" s="805"/>
      <c r="N138" s="779"/>
      <c r="O138" s="779"/>
      <c r="P138" s="779"/>
      <c r="Q138" s="779"/>
      <c r="R138" s="791"/>
      <c r="S138" s="66"/>
      <c r="T138" s="110"/>
      <c r="U138" s="31"/>
      <c r="V138" s="14"/>
    </row>
    <row r="139" spans="3:22" ht="12.75" customHeight="1" x14ac:dyDescent="0.2">
      <c r="C139" s="13"/>
      <c r="D139" s="19"/>
      <c r="E139" s="782"/>
      <c r="F139" s="812"/>
      <c r="G139" s="813"/>
      <c r="H139" s="814"/>
      <c r="I139" s="702"/>
      <c r="J139" s="14"/>
      <c r="K139" s="805"/>
      <c r="L139" s="805"/>
      <c r="M139" s="805"/>
      <c r="N139" s="779"/>
      <c r="O139" s="779"/>
      <c r="P139" s="779"/>
      <c r="Q139" s="779"/>
      <c r="R139" s="791"/>
      <c r="S139" s="66"/>
      <c r="T139" s="110"/>
      <c r="U139" s="31"/>
      <c r="V139" s="14"/>
    </row>
    <row r="140" spans="3:22" ht="12.75" customHeight="1" x14ac:dyDescent="0.2">
      <c r="C140" s="13"/>
      <c r="D140" s="19"/>
      <c r="E140" s="782"/>
      <c r="F140" s="812"/>
      <c r="G140" s="813"/>
      <c r="H140" s="814"/>
      <c r="I140" s="702"/>
      <c r="J140" s="14"/>
      <c r="K140" s="805"/>
      <c r="L140" s="805"/>
      <c r="M140" s="805"/>
      <c r="N140" s="779"/>
      <c r="O140" s="779"/>
      <c r="P140" s="779"/>
      <c r="Q140" s="779"/>
      <c r="R140" s="791"/>
      <c r="S140" s="66"/>
      <c r="T140" s="110"/>
      <c r="U140" s="31"/>
      <c r="V140" s="14"/>
    </row>
    <row r="141" spans="3:22" ht="12.75" customHeight="1" x14ac:dyDescent="0.2">
      <c r="C141" s="13"/>
      <c r="D141" s="19"/>
      <c r="E141" s="794"/>
      <c r="F141" s="815"/>
      <c r="G141" s="816"/>
      <c r="H141" s="817"/>
      <c r="I141" s="703"/>
      <c r="J141" s="14"/>
      <c r="K141" s="806"/>
      <c r="L141" s="806"/>
      <c r="M141" s="806"/>
      <c r="N141" s="789"/>
      <c r="O141" s="789"/>
      <c r="P141" s="789"/>
      <c r="Q141" s="789"/>
      <c r="R141" s="792"/>
      <c r="S141" s="151" t="s">
        <v>87</v>
      </c>
      <c r="T141" s="109">
        <f>SUM(T137:T140)</f>
        <v>81000</v>
      </c>
      <c r="U141" s="31"/>
      <c r="V141" s="14"/>
    </row>
    <row r="142" spans="3:22" ht="12.75" customHeight="1" x14ac:dyDescent="0.2">
      <c r="C142" s="13"/>
      <c r="D142" s="19">
        <f>D137+1</f>
        <v>27</v>
      </c>
      <c r="E142" s="793" t="s">
        <v>510</v>
      </c>
      <c r="F142" s="795" t="s">
        <v>552</v>
      </c>
      <c r="G142" s="796"/>
      <c r="H142" s="797"/>
      <c r="I142" s="702" t="s">
        <v>514</v>
      </c>
      <c r="J142" s="14"/>
      <c r="K142" s="804">
        <v>0</v>
      </c>
      <c r="L142" s="804">
        <v>1</v>
      </c>
      <c r="M142" s="804">
        <v>0</v>
      </c>
      <c r="N142" s="778"/>
      <c r="O142" s="778">
        <f>SUM('[4]ESC Cap Wks'!$B$126:$B$128)</f>
        <v>165000</v>
      </c>
      <c r="P142" s="778"/>
      <c r="Q142" s="778"/>
      <c r="R142" s="790">
        <f>SUM(N142:Q146)</f>
        <v>165000</v>
      </c>
      <c r="S142" s="66" t="s">
        <v>363</v>
      </c>
      <c r="T142" s="110">
        <f>R142</f>
        <v>165000</v>
      </c>
      <c r="U142" s="31"/>
      <c r="V142" s="14"/>
    </row>
    <row r="143" spans="3:22" ht="12.75" customHeight="1" x14ac:dyDescent="0.2">
      <c r="C143" s="13"/>
      <c r="D143" s="19"/>
      <c r="E143" s="782"/>
      <c r="F143" s="798"/>
      <c r="G143" s="799"/>
      <c r="H143" s="800"/>
      <c r="I143" s="702"/>
      <c r="J143" s="14"/>
      <c r="K143" s="805"/>
      <c r="L143" s="805"/>
      <c r="M143" s="805"/>
      <c r="N143" s="779"/>
      <c r="O143" s="779"/>
      <c r="P143" s="779"/>
      <c r="Q143" s="779"/>
      <c r="R143" s="791"/>
      <c r="S143" s="66"/>
      <c r="T143" s="110"/>
      <c r="U143" s="31"/>
      <c r="V143" s="14"/>
    </row>
    <row r="144" spans="3:22" ht="12.75" customHeight="1" x14ac:dyDescent="0.2">
      <c r="C144" s="13"/>
      <c r="D144" s="19"/>
      <c r="E144" s="782"/>
      <c r="F144" s="798"/>
      <c r="G144" s="799"/>
      <c r="H144" s="800"/>
      <c r="I144" s="702"/>
      <c r="J144" s="14"/>
      <c r="K144" s="805"/>
      <c r="L144" s="805"/>
      <c r="M144" s="805"/>
      <c r="N144" s="779"/>
      <c r="O144" s="779"/>
      <c r="P144" s="779"/>
      <c r="Q144" s="779"/>
      <c r="R144" s="791"/>
      <c r="S144" s="66"/>
      <c r="T144" s="110"/>
      <c r="U144" s="31"/>
      <c r="V144" s="14"/>
    </row>
    <row r="145" spans="3:22" ht="12.75" customHeight="1" x14ac:dyDescent="0.2">
      <c r="C145" s="13"/>
      <c r="D145" s="19"/>
      <c r="E145" s="782"/>
      <c r="F145" s="798"/>
      <c r="G145" s="799"/>
      <c r="H145" s="800"/>
      <c r="I145" s="702"/>
      <c r="J145" s="14"/>
      <c r="K145" s="805"/>
      <c r="L145" s="805"/>
      <c r="M145" s="805"/>
      <c r="N145" s="779"/>
      <c r="O145" s="779"/>
      <c r="P145" s="779"/>
      <c r="Q145" s="779"/>
      <c r="R145" s="791"/>
      <c r="S145" s="66"/>
      <c r="T145" s="110"/>
      <c r="U145" s="31"/>
      <c r="V145" s="14"/>
    </row>
    <row r="146" spans="3:22" ht="12.75" customHeight="1" x14ac:dyDescent="0.2">
      <c r="C146" s="13"/>
      <c r="D146" s="19"/>
      <c r="E146" s="794"/>
      <c r="F146" s="801"/>
      <c r="G146" s="802"/>
      <c r="H146" s="803"/>
      <c r="I146" s="703"/>
      <c r="J146" s="14"/>
      <c r="K146" s="806"/>
      <c r="L146" s="806"/>
      <c r="M146" s="806"/>
      <c r="N146" s="789"/>
      <c r="O146" s="789"/>
      <c r="P146" s="789"/>
      <c r="Q146" s="789"/>
      <c r="R146" s="792"/>
      <c r="S146" s="151" t="s">
        <v>87</v>
      </c>
      <c r="T146" s="109">
        <f>SUM(T142:T145)</f>
        <v>165000</v>
      </c>
      <c r="U146" s="31"/>
      <c r="V146" s="14"/>
    </row>
    <row r="147" spans="3:22" ht="12.75" customHeight="1" x14ac:dyDescent="0.2">
      <c r="C147" s="13"/>
      <c r="D147" s="19">
        <f>D142+1</f>
        <v>28</v>
      </c>
      <c r="E147" s="793" t="s">
        <v>511</v>
      </c>
      <c r="F147" s="795" t="s">
        <v>553</v>
      </c>
      <c r="G147" s="796"/>
      <c r="H147" s="797"/>
      <c r="I147" s="702" t="s">
        <v>514</v>
      </c>
      <c r="J147" s="14"/>
      <c r="K147" s="804">
        <v>0</v>
      </c>
      <c r="L147" s="804">
        <v>0</v>
      </c>
      <c r="M147" s="804">
        <v>1</v>
      </c>
      <c r="N147" s="778"/>
      <c r="O147" s="778">
        <f>SUM('[4]ESC Cap Wks'!$B$114:$B$116)</f>
        <v>19402.849999999999</v>
      </c>
      <c r="P147" s="778"/>
      <c r="Q147" s="778"/>
      <c r="R147" s="790">
        <f>SUM(N147:Q151)</f>
        <v>19402.849999999999</v>
      </c>
      <c r="S147" s="66" t="s">
        <v>363</v>
      </c>
      <c r="T147" s="110">
        <f>O147-T148</f>
        <v>11130.39</v>
      </c>
      <c r="U147" s="31"/>
      <c r="V147" s="14"/>
    </row>
    <row r="148" spans="3:22" ht="12.75" customHeight="1" x14ac:dyDescent="0.2">
      <c r="C148" s="13"/>
      <c r="D148" s="19"/>
      <c r="E148" s="782"/>
      <c r="F148" s="798"/>
      <c r="G148" s="799"/>
      <c r="H148" s="800"/>
      <c r="I148" s="702" t="s">
        <v>516</v>
      </c>
      <c r="J148" s="14"/>
      <c r="K148" s="805"/>
      <c r="L148" s="805"/>
      <c r="M148" s="805"/>
      <c r="N148" s="779"/>
      <c r="O148" s="779"/>
      <c r="P148" s="779"/>
      <c r="Q148" s="779"/>
      <c r="R148" s="791"/>
      <c r="S148" s="66" t="s">
        <v>111</v>
      </c>
      <c r="T148" s="110">
        <v>8272.4599999999991</v>
      </c>
      <c r="U148" s="31"/>
      <c r="V148" s="14"/>
    </row>
    <row r="149" spans="3:22" ht="12.75" customHeight="1" x14ac:dyDescent="0.2">
      <c r="C149" s="13"/>
      <c r="D149" s="19"/>
      <c r="E149" s="782"/>
      <c r="F149" s="798"/>
      <c r="G149" s="799"/>
      <c r="H149" s="800"/>
      <c r="I149" s="702" t="s">
        <v>515</v>
      </c>
      <c r="J149" s="14"/>
      <c r="K149" s="805"/>
      <c r="L149" s="805"/>
      <c r="M149" s="805"/>
      <c r="N149" s="779"/>
      <c r="O149" s="779"/>
      <c r="P149" s="779"/>
      <c r="Q149" s="779"/>
      <c r="R149" s="791"/>
      <c r="S149" s="66"/>
      <c r="T149" s="110"/>
      <c r="U149" s="31"/>
      <c r="V149" s="14"/>
    </row>
    <row r="150" spans="3:22" ht="12.75" customHeight="1" x14ac:dyDescent="0.2">
      <c r="C150" s="13"/>
      <c r="D150" s="19"/>
      <c r="E150" s="782"/>
      <c r="F150" s="798"/>
      <c r="G150" s="799"/>
      <c r="H150" s="800"/>
      <c r="I150" s="702"/>
      <c r="J150" s="14"/>
      <c r="K150" s="805"/>
      <c r="L150" s="805"/>
      <c r="M150" s="805"/>
      <c r="N150" s="779"/>
      <c r="O150" s="779"/>
      <c r="P150" s="779"/>
      <c r="Q150" s="779"/>
      <c r="R150" s="791"/>
      <c r="S150" s="66"/>
      <c r="T150" s="110"/>
      <c r="U150" s="31"/>
      <c r="V150" s="14"/>
    </row>
    <row r="151" spans="3:22" ht="12.75" customHeight="1" x14ac:dyDescent="0.2">
      <c r="C151" s="13"/>
      <c r="D151" s="19"/>
      <c r="E151" s="794"/>
      <c r="F151" s="801"/>
      <c r="G151" s="802"/>
      <c r="H151" s="803"/>
      <c r="I151" s="703"/>
      <c r="J151" s="14"/>
      <c r="K151" s="806"/>
      <c r="L151" s="806"/>
      <c r="M151" s="806"/>
      <c r="N151" s="789"/>
      <c r="O151" s="789"/>
      <c r="P151" s="789"/>
      <c r="Q151" s="789"/>
      <c r="R151" s="792"/>
      <c r="S151" s="151" t="s">
        <v>87</v>
      </c>
      <c r="T151" s="109">
        <f>SUM(T147:T150)</f>
        <v>19402.849999999999</v>
      </c>
      <c r="U151" s="31"/>
      <c r="V151" s="14"/>
    </row>
    <row r="152" spans="3:22" ht="12.75" customHeight="1" x14ac:dyDescent="0.2">
      <c r="C152" s="13"/>
      <c r="D152" s="19">
        <f>D147+1</f>
        <v>29</v>
      </c>
      <c r="E152" s="793" t="s">
        <v>512</v>
      </c>
      <c r="F152" s="795" t="s">
        <v>554</v>
      </c>
      <c r="G152" s="796"/>
      <c r="H152" s="797"/>
      <c r="I152" s="702" t="s">
        <v>514</v>
      </c>
      <c r="J152" s="14"/>
      <c r="K152" s="804">
        <v>0</v>
      </c>
      <c r="L152" s="804">
        <v>0</v>
      </c>
      <c r="M152" s="804">
        <v>1</v>
      </c>
      <c r="N152" s="778"/>
      <c r="O152" s="778">
        <f>SUM('[4]ESC Cap Wks'!$B$133:$B$137)</f>
        <v>31600</v>
      </c>
      <c r="P152" s="778"/>
      <c r="Q152" s="778"/>
      <c r="R152" s="790">
        <f>SUM(N152:Q156)</f>
        <v>31600</v>
      </c>
      <c r="S152" s="66" t="s">
        <v>363</v>
      </c>
      <c r="T152" s="110">
        <f>R152-T153</f>
        <v>25100</v>
      </c>
      <c r="U152" s="31"/>
      <c r="V152" s="14"/>
    </row>
    <row r="153" spans="3:22" ht="12.75" customHeight="1" x14ac:dyDescent="0.2">
      <c r="C153" s="13"/>
      <c r="D153" s="19"/>
      <c r="E153" s="782"/>
      <c r="F153" s="798"/>
      <c r="G153" s="799"/>
      <c r="H153" s="800"/>
      <c r="I153" s="702" t="s">
        <v>516</v>
      </c>
      <c r="J153" s="14"/>
      <c r="K153" s="805"/>
      <c r="L153" s="805"/>
      <c r="M153" s="805"/>
      <c r="N153" s="779"/>
      <c r="O153" s="779"/>
      <c r="P153" s="779"/>
      <c r="Q153" s="779"/>
      <c r="R153" s="791"/>
      <c r="S153" s="66" t="s">
        <v>111</v>
      </c>
      <c r="T153" s="110">
        <f>5000+1500</f>
        <v>6500</v>
      </c>
      <c r="U153" s="31"/>
      <c r="V153" s="14"/>
    </row>
    <row r="154" spans="3:22" ht="12.75" customHeight="1" x14ac:dyDescent="0.2">
      <c r="C154" s="13"/>
      <c r="D154" s="19"/>
      <c r="E154" s="782"/>
      <c r="F154" s="798"/>
      <c r="G154" s="799"/>
      <c r="H154" s="800"/>
      <c r="I154" s="702" t="s">
        <v>515</v>
      </c>
      <c r="J154" s="14"/>
      <c r="K154" s="805"/>
      <c r="L154" s="805"/>
      <c r="M154" s="805"/>
      <c r="N154" s="779"/>
      <c r="O154" s="779"/>
      <c r="P154" s="779"/>
      <c r="Q154" s="779"/>
      <c r="R154" s="791"/>
      <c r="S154" s="66"/>
      <c r="T154" s="110"/>
      <c r="U154" s="31"/>
      <c r="V154" s="14"/>
    </row>
    <row r="155" spans="3:22" ht="12.75" customHeight="1" x14ac:dyDescent="0.2">
      <c r="C155" s="13"/>
      <c r="D155" s="19"/>
      <c r="E155" s="782"/>
      <c r="F155" s="798"/>
      <c r="G155" s="799"/>
      <c r="H155" s="800"/>
      <c r="I155" s="702"/>
      <c r="J155" s="14"/>
      <c r="K155" s="805"/>
      <c r="L155" s="805"/>
      <c r="M155" s="805"/>
      <c r="N155" s="779"/>
      <c r="O155" s="779"/>
      <c r="P155" s="779"/>
      <c r="Q155" s="779"/>
      <c r="R155" s="791"/>
      <c r="S155" s="66"/>
      <c r="T155" s="110"/>
      <c r="U155" s="31"/>
      <c r="V155" s="14"/>
    </row>
    <row r="156" spans="3:22" ht="12.75" customHeight="1" x14ac:dyDescent="0.2">
      <c r="C156" s="13"/>
      <c r="D156" s="19"/>
      <c r="E156" s="794"/>
      <c r="F156" s="801"/>
      <c r="G156" s="802"/>
      <c r="H156" s="803"/>
      <c r="I156" s="703"/>
      <c r="J156" s="14"/>
      <c r="K156" s="806"/>
      <c r="L156" s="806"/>
      <c r="M156" s="806"/>
      <c r="N156" s="780"/>
      <c r="O156" s="780"/>
      <c r="P156" s="780"/>
      <c r="Q156" s="780"/>
      <c r="R156" s="807"/>
      <c r="S156" s="122" t="s">
        <v>87</v>
      </c>
      <c r="T156" s="123">
        <f>SUM(T152:T155)</f>
        <v>31600</v>
      </c>
      <c r="U156" s="31"/>
      <c r="V156" s="14"/>
    </row>
    <row r="157" spans="3:22" ht="12.75" customHeight="1" x14ac:dyDescent="0.2">
      <c r="C157" s="13"/>
      <c r="D157" s="19">
        <f>D152+1</f>
        <v>30</v>
      </c>
      <c r="E157" s="793" t="str">
        <f>'[4]ESC Cap Wks'!$A$18</f>
        <v>Project management - priority infrastructure projects (capital)</v>
      </c>
      <c r="F157" s="795" t="s">
        <v>557</v>
      </c>
      <c r="G157" s="796"/>
      <c r="H157" s="797"/>
      <c r="I157" s="702" t="s">
        <v>519</v>
      </c>
      <c r="J157" s="14"/>
      <c r="K157" s="804">
        <v>0.5</v>
      </c>
      <c r="L157" s="804">
        <v>0</v>
      </c>
      <c r="M157" s="804">
        <v>0.5</v>
      </c>
      <c r="N157" s="778">
        <f>0.25*(SUM('[4]ESC Cap Wks'!$B$17:$B$18))</f>
        <v>48550</v>
      </c>
      <c r="O157" s="778">
        <f>0.6*(SUM('[4]ESC Cap Wks'!$B$17:$B$18))</f>
        <v>116520</v>
      </c>
      <c r="P157" s="778">
        <v>0</v>
      </c>
      <c r="Q157" s="778">
        <f>0.15*(SUM('[4]ESC Cap Wks'!$B$17:$B$18))</f>
        <v>29130</v>
      </c>
      <c r="R157" s="790">
        <f>SUM(N157:Q161)</f>
        <v>194200</v>
      </c>
      <c r="S157" s="66" t="s">
        <v>363</v>
      </c>
      <c r="T157" s="110">
        <f>R157</f>
        <v>194200</v>
      </c>
      <c r="U157" s="31"/>
      <c r="V157" s="14"/>
    </row>
    <row r="158" spans="3:22" ht="12.75" customHeight="1" x14ac:dyDescent="0.2">
      <c r="C158" s="13"/>
      <c r="D158" s="19"/>
      <c r="E158" s="782"/>
      <c r="F158" s="798"/>
      <c r="G158" s="799"/>
      <c r="H158" s="800"/>
      <c r="I158" s="702" t="s">
        <v>516</v>
      </c>
      <c r="J158" s="14"/>
      <c r="K158" s="805"/>
      <c r="L158" s="805"/>
      <c r="M158" s="805"/>
      <c r="N158" s="779"/>
      <c r="O158" s="779"/>
      <c r="P158" s="779"/>
      <c r="Q158" s="779"/>
      <c r="R158" s="791"/>
      <c r="S158" s="66"/>
      <c r="T158" s="110"/>
      <c r="U158" s="31"/>
      <c r="V158" s="14"/>
    </row>
    <row r="159" spans="3:22" ht="12.75" customHeight="1" x14ac:dyDescent="0.2">
      <c r="C159" s="13"/>
      <c r="D159" s="19"/>
      <c r="E159" s="782"/>
      <c r="F159" s="798"/>
      <c r="G159" s="799"/>
      <c r="H159" s="800"/>
      <c r="I159" s="702" t="s">
        <v>514</v>
      </c>
      <c r="J159" s="14"/>
      <c r="K159" s="805"/>
      <c r="L159" s="805"/>
      <c r="M159" s="805"/>
      <c r="N159" s="779"/>
      <c r="O159" s="779"/>
      <c r="P159" s="779"/>
      <c r="Q159" s="779"/>
      <c r="R159" s="791"/>
      <c r="S159" s="66"/>
      <c r="T159" s="110"/>
      <c r="U159" s="31"/>
      <c r="V159" s="14"/>
    </row>
    <row r="160" spans="3:22" ht="12.75" customHeight="1" x14ac:dyDescent="0.2">
      <c r="C160" s="13"/>
      <c r="D160" s="19"/>
      <c r="E160" s="782"/>
      <c r="F160" s="798"/>
      <c r="G160" s="799"/>
      <c r="H160" s="800"/>
      <c r="I160" s="702" t="s">
        <v>515</v>
      </c>
      <c r="J160" s="14"/>
      <c r="K160" s="805"/>
      <c r="L160" s="805"/>
      <c r="M160" s="805"/>
      <c r="N160" s="779"/>
      <c r="O160" s="779"/>
      <c r="P160" s="779"/>
      <c r="Q160" s="779"/>
      <c r="R160" s="791"/>
      <c r="S160" s="66"/>
      <c r="T160" s="110"/>
      <c r="U160" s="31"/>
      <c r="V160" s="14"/>
    </row>
    <row r="161" spans="2:22" ht="12.75" customHeight="1" x14ac:dyDescent="0.2">
      <c r="C161" s="13"/>
      <c r="D161" s="19"/>
      <c r="E161" s="794"/>
      <c r="F161" s="801"/>
      <c r="G161" s="802"/>
      <c r="H161" s="803"/>
      <c r="I161" s="703" t="s">
        <v>533</v>
      </c>
      <c r="J161" s="14"/>
      <c r="K161" s="806"/>
      <c r="L161" s="806"/>
      <c r="M161" s="806"/>
      <c r="N161" s="780"/>
      <c r="O161" s="780"/>
      <c r="P161" s="780"/>
      <c r="Q161" s="780"/>
      <c r="R161" s="807"/>
      <c r="S161" s="122" t="s">
        <v>87</v>
      </c>
      <c r="T161" s="123">
        <f>SUM(T157:T160)</f>
        <v>194200</v>
      </c>
      <c r="U161" s="31"/>
      <c r="V161" s="14"/>
    </row>
    <row r="162" spans="2:22" x14ac:dyDescent="0.2">
      <c r="C162" s="13"/>
      <c r="D162" s="19"/>
      <c r="E162" s="81"/>
      <c r="F162" s="54"/>
      <c r="G162" s="54"/>
      <c r="H162" s="14"/>
      <c r="I162" s="14"/>
      <c r="J162" s="14"/>
      <c r="K162" s="14"/>
      <c r="L162" s="14"/>
      <c r="M162" s="14"/>
      <c r="N162" s="14"/>
      <c r="O162" s="14"/>
      <c r="P162" s="14"/>
      <c r="Q162" s="14"/>
      <c r="R162" s="405">
        <f>IFERROR(SUM(R12:R161)/R193,"")</f>
        <v>1.0000000000000002</v>
      </c>
      <c r="S162" s="14"/>
      <c r="T162" s="14"/>
      <c r="U162" s="31"/>
      <c r="V162" s="14"/>
    </row>
    <row r="163" spans="2:22" x14ac:dyDescent="0.2">
      <c r="C163" s="13"/>
      <c r="D163" s="14"/>
      <c r="E163" s="81"/>
      <c r="F163" s="54"/>
      <c r="G163" s="54"/>
      <c r="H163" s="14"/>
      <c r="I163" s="14"/>
      <c r="J163" s="14"/>
      <c r="K163" s="14"/>
      <c r="L163" s="14"/>
      <c r="M163" s="14"/>
      <c r="N163" s="14"/>
      <c r="O163" s="14"/>
      <c r="P163" s="14"/>
      <c r="Q163" s="14"/>
      <c r="R163" s="14"/>
      <c r="S163" s="14"/>
      <c r="T163" s="14"/>
      <c r="U163" s="31"/>
      <c r="V163" s="14"/>
    </row>
    <row r="164" spans="2:22" x14ac:dyDescent="0.2">
      <c r="B164" s="14"/>
      <c r="C164" s="13"/>
      <c r="D164" s="14"/>
      <c r="E164" s="81"/>
      <c r="F164" s="14"/>
      <c r="G164" s="14"/>
      <c r="H164" s="14"/>
      <c r="I164" s="14"/>
      <c r="J164" s="14"/>
      <c r="K164" s="14"/>
      <c r="L164" s="14"/>
      <c r="M164" s="14"/>
      <c r="N164" s="14"/>
      <c r="O164" s="14"/>
      <c r="P164" s="14"/>
      <c r="Q164" s="14"/>
      <c r="R164" s="14"/>
      <c r="S164" s="14"/>
      <c r="T164" s="14"/>
      <c r="U164" s="31"/>
      <c r="V164" s="14"/>
    </row>
    <row r="165" spans="2:22" x14ac:dyDescent="0.2">
      <c r="B165" s="14"/>
      <c r="C165" s="13"/>
      <c r="D165" s="14"/>
      <c r="E165" s="124"/>
      <c r="F165" s="128"/>
      <c r="G165" s="128"/>
      <c r="H165" s="784" t="s">
        <v>145</v>
      </c>
      <c r="I165" s="785"/>
      <c r="J165" s="14"/>
      <c r="K165" s="14"/>
      <c r="L165" s="14"/>
      <c r="M165" s="14"/>
      <c r="N165" s="786" t="s">
        <v>101</v>
      </c>
      <c r="O165" s="787"/>
      <c r="P165" s="787"/>
      <c r="Q165" s="787"/>
      <c r="R165" s="788"/>
      <c r="S165" s="125"/>
      <c r="T165" s="126"/>
      <c r="U165" s="131"/>
      <c r="V165" s="30"/>
    </row>
    <row r="166" spans="2:22" ht="25.5" x14ac:dyDescent="0.2">
      <c r="B166" s="14"/>
      <c r="C166" s="13"/>
      <c r="D166" s="14"/>
      <c r="E166" s="130"/>
      <c r="F166" s="14"/>
      <c r="G166" s="14"/>
      <c r="H166" s="269" t="s">
        <v>143</v>
      </c>
      <c r="I166" s="269" t="s">
        <v>144</v>
      </c>
      <c r="J166" s="14"/>
      <c r="K166" s="14"/>
      <c r="L166" s="14"/>
      <c r="M166" s="14"/>
      <c r="N166" s="223" t="s">
        <v>103</v>
      </c>
      <c r="O166" s="223" t="s">
        <v>104</v>
      </c>
      <c r="P166" s="223" t="s">
        <v>105</v>
      </c>
      <c r="Q166" s="223" t="s">
        <v>106</v>
      </c>
      <c r="R166" s="223" t="s">
        <v>87</v>
      </c>
      <c r="S166" s="223" t="s">
        <v>141</v>
      </c>
      <c r="T166" s="223" t="s">
        <v>142</v>
      </c>
      <c r="U166" s="31"/>
      <c r="V166" s="14"/>
    </row>
    <row r="167" spans="2:22" x14ac:dyDescent="0.2">
      <c r="B167" s="14"/>
      <c r="C167" s="13"/>
      <c r="D167" s="14"/>
      <c r="E167" s="130"/>
      <c r="F167" s="14"/>
      <c r="G167" s="14"/>
      <c r="H167" s="150" t="s">
        <v>164</v>
      </c>
      <c r="I167" s="150" t="s">
        <v>163</v>
      </c>
      <c r="J167" s="14"/>
      <c r="K167" s="14"/>
      <c r="L167" s="14"/>
      <c r="M167" s="14"/>
      <c r="N167" s="150" t="s">
        <v>164</v>
      </c>
      <c r="O167" s="150" t="s">
        <v>164</v>
      </c>
      <c r="P167" s="150" t="s">
        <v>164</v>
      </c>
      <c r="Q167" s="150" t="s">
        <v>164</v>
      </c>
      <c r="R167" s="150" t="s">
        <v>164</v>
      </c>
      <c r="S167" s="150" t="s">
        <v>164</v>
      </c>
      <c r="T167" s="150" t="s">
        <v>163</v>
      </c>
      <c r="U167" s="31"/>
      <c r="V167" s="14"/>
    </row>
    <row r="168" spans="2:22" ht="6.75" customHeight="1" x14ac:dyDescent="0.2">
      <c r="B168" s="14"/>
      <c r="C168" s="13"/>
      <c r="D168" s="14"/>
      <c r="E168" s="130"/>
      <c r="F168" s="14"/>
      <c r="G168" s="14"/>
      <c r="H168" s="150"/>
      <c r="I168" s="150"/>
      <c r="J168" s="14"/>
      <c r="K168" s="14"/>
      <c r="L168" s="14"/>
      <c r="M168" s="14"/>
      <c r="N168" s="150"/>
      <c r="O168" s="150"/>
      <c r="P168" s="150"/>
      <c r="Q168" s="150"/>
      <c r="R168" s="150"/>
      <c r="S168" s="150"/>
      <c r="T168" s="150"/>
      <c r="U168" s="31"/>
      <c r="V168" s="14"/>
    </row>
    <row r="169" spans="2:22" ht="12.75" customHeight="1" x14ac:dyDescent="0.2">
      <c r="B169" s="14"/>
      <c r="C169" s="13"/>
      <c r="D169" s="14"/>
      <c r="E169" s="130" t="s">
        <v>117</v>
      </c>
      <c r="F169" s="14"/>
      <c r="G169" s="14"/>
      <c r="H169" s="150"/>
      <c r="I169" s="150"/>
      <c r="J169" s="14"/>
      <c r="K169" s="14"/>
      <c r="L169" s="14"/>
      <c r="M169" s="14"/>
      <c r="N169" s="150"/>
      <c r="O169" s="150"/>
      <c r="P169" s="150"/>
      <c r="Q169" s="150"/>
      <c r="R169" s="150"/>
      <c r="S169" s="150"/>
      <c r="T169" s="150"/>
      <c r="U169" s="31"/>
      <c r="V169" s="14"/>
    </row>
    <row r="170" spans="2:22" ht="12" customHeight="1" x14ac:dyDescent="0.2">
      <c r="B170" s="14"/>
      <c r="C170" s="13"/>
      <c r="D170" s="19"/>
      <c r="E170" s="140" t="s">
        <v>118</v>
      </c>
      <c r="F170" s="141"/>
      <c r="G170" s="141"/>
      <c r="H170" s="138">
        <f>('[6]Note 23 (L&amp;B)'!$D$26+'[6]Note 23 (L&amp;B)'!$E$26)*1000</f>
        <v>91011499.999999985</v>
      </c>
      <c r="I170" s="138">
        <v>0</v>
      </c>
      <c r="J170" s="14"/>
      <c r="K170" s="14"/>
      <c r="L170" s="14"/>
      <c r="M170" s="14"/>
      <c r="N170" s="138">
        <v>0</v>
      </c>
      <c r="O170" s="138">
        <v>0</v>
      </c>
      <c r="P170" s="138">
        <v>0</v>
      </c>
      <c r="Q170" s="138">
        <v>0</v>
      </c>
      <c r="R170" s="139">
        <f>SUM(N170:Q170)</f>
        <v>0</v>
      </c>
      <c r="S170" s="138">
        <v>0</v>
      </c>
      <c r="T170" s="215" t="str">
        <f t="shared" ref="T170:T175" si="0">IFERROR(O170/S170,"")</f>
        <v/>
      </c>
      <c r="U170" s="31"/>
      <c r="V170" s="14"/>
    </row>
    <row r="171" spans="2:22" ht="12" customHeight="1" x14ac:dyDescent="0.2">
      <c r="B171" s="14"/>
      <c r="C171" s="13"/>
      <c r="D171" s="19"/>
      <c r="E171" s="140" t="s">
        <v>119</v>
      </c>
      <c r="F171" s="141"/>
      <c r="G171" s="141"/>
      <c r="H171" s="142">
        <f>('[6]Note 23 (L&amp;B)'!$F$26*1000)+'[7]WIP Fixed Asset Register'!$H$9</f>
        <v>79495</v>
      </c>
      <c r="I171" s="142">
        <v>0</v>
      </c>
      <c r="J171" s="14"/>
      <c r="K171" s="14"/>
      <c r="L171" s="14"/>
      <c r="M171" s="14"/>
      <c r="N171" s="142">
        <v>0</v>
      </c>
      <c r="O171" s="142">
        <v>0</v>
      </c>
      <c r="P171" s="142">
        <v>0</v>
      </c>
      <c r="Q171" s="142">
        <f>GETPIVOTDATA("Sum of 2016/17",'[4]ESC Cap Wks'!$A$3,"ACCOUNT NAME","Plan for redevelopment of Council freehold land","Statement of Capital Works - Asset Class","Land improvements","Statement of Capital Works - N/R/U","Asset upgrade expenditure")</f>
        <v>5000</v>
      </c>
      <c r="R171" s="143">
        <f t="shared" ref="R171:R192" si="1">SUM(N171:Q171)</f>
        <v>5000</v>
      </c>
      <c r="S171" s="142">
        <v>0</v>
      </c>
      <c r="T171" s="216" t="str">
        <f t="shared" si="0"/>
        <v/>
      </c>
      <c r="U171" s="31"/>
      <c r="V171" s="14"/>
    </row>
    <row r="172" spans="2:22" ht="12" customHeight="1" x14ac:dyDescent="0.2">
      <c r="B172" s="14"/>
      <c r="C172" s="13"/>
      <c r="D172" s="19"/>
      <c r="E172" s="140" t="s">
        <v>120</v>
      </c>
      <c r="F172" s="141"/>
      <c r="G172" s="141"/>
      <c r="H172" s="142">
        <f>('[6]Note 23 (L&amp;B)'!$J$26*1000)+'[7]WIP Fixed Asset Register'!$H$10+'[7]WIP Fixed Asset Register'!$H$11</f>
        <v>15140522.096133718</v>
      </c>
      <c r="I172" s="491">
        <v>0.12</v>
      </c>
      <c r="J172" s="14"/>
      <c r="K172" s="14"/>
      <c r="L172" s="14"/>
      <c r="M172" s="14"/>
      <c r="N172" s="142">
        <f>(0.35*(0.5*GETPIVOTDATA("Sum of 2016/17",'[4]ESC Cap Wks'!$A$3,"ACCOUNT NAME","Develop Stage 2 of the Queenscliff Sports &amp; Recreation Precinct Development Plan","Statement of Capital Works - Asset Class","50% Buildings, 47% RL&amp;CF, 3% Roads","Statement of Capital Works - N/R/U","15% renewal, 50% upgrade, 35% new")))+(0.25*(0.5*(SUM('[4]ESC Cap Wks'!$B$17:$B$18))))+GETPIVOTDATA("Sum of 2016/17",'[4]ESC Cap Wks'!$A$3,"ACCOUNT NAME","Town hall upgrade including solar panels","Statement of Capital Works - Asset Class","Buildings","Statement of Capital Works - N/R/U","New asset expenditure")</f>
        <v>76750</v>
      </c>
      <c r="O172" s="142">
        <f>(0.8*(0.5*GETPIVOTDATA("Sum of 2016/17",'[4]ESC Cap Wks'!$A$3,"ACCOUNT NAME","Point Lonsdale Foreshore Revitalisation - Stage 3: Village Park Upgrade","Statement of Capital Works - Asset Class","50% Buildings, 30% Parks, open space and streetscapes, 20% RL&amp;CF","Statement of Capital Works - N/R/U","80% renewal, 20% upgrade")))+(0.15*(0.5*GETPIVOTDATA("Sum of 2016/17",'[4]ESC Cap Wks'!$A$3,"ACCOUNT NAME","Develop Stage 2 of the Queenscliff Sports &amp; Recreation Precinct Development Plan","Statement of Capital Works - Asset Class","50% Buildings, 47% RL&amp;CF, 3% Roads","Statement of Capital Works - N/R/U","15% renewal, 50% upgrade, 35% new")))+(0.6*(0.5*(SUM('[4]ESC Cap Wks'!$B$17:$B$18))))+(0.8*GETPIVOTDATA("Sum of 2016/17",'[4]ESC Cap Wks'!$A$3,"ACCOUNT NAME","Queenscliff Historic Railway Precinct Project - Senior Citizens &amp; Sea Scouts Buildings","Statement of Capital Works - Asset Class","Buildings","Statement of Capital Works - N/R/U","80% renewal, 20% upgrade"))+(SUM('[4]ESC Cap Wks'!$B$33:$B$36))</f>
        <v>242726.37799999997</v>
      </c>
      <c r="P172" s="142">
        <v>0</v>
      </c>
      <c r="Q172" s="142">
        <f>(0.2*(0.5*GETPIVOTDATA("Sum of 2016/17",'[4]ESC Cap Wks'!$A$3,"ACCOUNT NAME","Point Lonsdale Foreshore Revitalisation - Stage 3: Village Park Upgrade","Statement of Capital Works - Asset Class","50% Buildings, 30% Parks, open space and streetscapes, 20% RL&amp;CF","Statement of Capital Works - N/R/U","80% renewal, 20% upgrade")))+(0.5*(0.5*GETPIVOTDATA("Sum of 2016/17",'[4]ESC Cap Wks'!$A$3,"ACCOUNT NAME","Develop Stage 2 of the Queenscliff Sports &amp; Recreation Precinct Development Plan","Statement of Capital Works - Asset Class","50% Buildings, 47% RL&amp;CF, 3% Roads","Statement of Capital Works - N/R/U","15% renewal, 50% upgrade, 35% new")))+(0.15*(0.5*(SUM('[4]ESC Cap Wks'!$B$17:$B$18))))+(0.2*GETPIVOTDATA("Sum of 2016/17",'[4]ESC Cap Wks'!$A$3,"ACCOUNT NAME","Queenscliff Historic Railway Precinct Project - Senior Citizens &amp; Sea Scouts Buildings","Statement of Capital Works - Asset Class","Buildings","Statement of Capital Works - N/R/U","80% renewal, 20% upgrade"))</f>
        <v>110397.292</v>
      </c>
      <c r="R172" s="143">
        <f t="shared" si="1"/>
        <v>429873.67</v>
      </c>
      <c r="S172" s="138">
        <f>'[4]ESC Depn by Class'!$C$14+'[4]ESC Depn by Class'!$C$15</f>
        <v>454527.30360000004</v>
      </c>
      <c r="T172" s="216">
        <f t="shared" si="0"/>
        <v>0.53401935610364937</v>
      </c>
      <c r="U172" s="31"/>
      <c r="V172" s="14"/>
    </row>
    <row r="173" spans="2:22" ht="12" customHeight="1" x14ac:dyDescent="0.2">
      <c r="B173" s="14"/>
      <c r="C173" s="13"/>
      <c r="D173" s="19"/>
      <c r="E173" s="140" t="s">
        <v>121</v>
      </c>
      <c r="F173" s="141"/>
      <c r="G173" s="141"/>
      <c r="H173" s="142">
        <v>0</v>
      </c>
      <c r="I173" s="142">
        <v>0</v>
      </c>
      <c r="J173" s="14"/>
      <c r="K173" s="14"/>
      <c r="L173" s="14"/>
      <c r="M173" s="14"/>
      <c r="N173" s="142">
        <v>0</v>
      </c>
      <c r="O173" s="142">
        <v>0</v>
      </c>
      <c r="P173" s="142">
        <v>0</v>
      </c>
      <c r="Q173" s="142">
        <v>0</v>
      </c>
      <c r="R173" s="143">
        <f t="shared" si="1"/>
        <v>0</v>
      </c>
      <c r="S173" s="142">
        <v>0</v>
      </c>
      <c r="T173" s="216" t="str">
        <f t="shared" si="0"/>
        <v/>
      </c>
      <c r="U173" s="31"/>
      <c r="V173" s="14"/>
    </row>
    <row r="174" spans="2:22" ht="12" customHeight="1" x14ac:dyDescent="0.2">
      <c r="B174" s="14"/>
      <c r="C174" s="13"/>
      <c r="D174" s="19"/>
      <c r="E174" s="140" t="s">
        <v>122</v>
      </c>
      <c r="F174" s="141"/>
      <c r="G174" s="141"/>
      <c r="H174" s="142">
        <v>0</v>
      </c>
      <c r="I174" s="142">
        <v>0</v>
      </c>
      <c r="J174" s="14"/>
      <c r="K174" s="14"/>
      <c r="L174" s="14"/>
      <c r="M174" s="14"/>
      <c r="N174" s="142">
        <v>0</v>
      </c>
      <c r="O174" s="142">
        <v>0</v>
      </c>
      <c r="P174" s="142">
        <v>0</v>
      </c>
      <c r="Q174" s="142">
        <v>0</v>
      </c>
      <c r="R174" s="143">
        <f t="shared" si="1"/>
        <v>0</v>
      </c>
      <c r="S174" s="142">
        <v>0</v>
      </c>
      <c r="T174" s="216" t="str">
        <f t="shared" si="0"/>
        <v/>
      </c>
      <c r="U174" s="31"/>
      <c r="V174" s="14"/>
    </row>
    <row r="175" spans="2:22" x14ac:dyDescent="0.2">
      <c r="B175" s="14"/>
      <c r="C175" s="13"/>
      <c r="D175" s="14"/>
      <c r="E175" s="140" t="s">
        <v>123</v>
      </c>
      <c r="F175" s="141"/>
      <c r="G175" s="141"/>
      <c r="H175" s="142">
        <v>0</v>
      </c>
      <c r="I175" s="142">
        <v>0</v>
      </c>
      <c r="J175" s="14"/>
      <c r="K175" s="14"/>
      <c r="L175" s="14"/>
      <c r="M175" s="14"/>
      <c r="N175" s="142">
        <v>0</v>
      </c>
      <c r="O175" s="142">
        <v>0</v>
      </c>
      <c r="P175" s="142">
        <v>0</v>
      </c>
      <c r="Q175" s="142">
        <v>0</v>
      </c>
      <c r="R175" s="143">
        <f t="shared" si="1"/>
        <v>0</v>
      </c>
      <c r="S175" s="142">
        <v>0</v>
      </c>
      <c r="T175" s="216" t="str">
        <f t="shared" si="0"/>
        <v/>
      </c>
      <c r="U175" s="31"/>
      <c r="V175" s="14"/>
    </row>
    <row r="176" spans="2:22" ht="12.6" customHeight="1" x14ac:dyDescent="0.2">
      <c r="B176" s="14"/>
      <c r="C176" s="13"/>
      <c r="D176" s="14"/>
      <c r="E176" s="144" t="s">
        <v>124</v>
      </c>
      <c r="F176" s="141"/>
      <c r="G176" s="141"/>
      <c r="H176" s="141"/>
      <c r="I176" s="141"/>
      <c r="J176" s="14"/>
      <c r="K176" s="14"/>
      <c r="L176" s="14"/>
      <c r="M176" s="14"/>
      <c r="N176" s="141"/>
      <c r="O176" s="141"/>
      <c r="P176" s="141"/>
      <c r="Q176" s="141"/>
      <c r="R176" s="141"/>
      <c r="S176" s="141"/>
      <c r="T176" s="217"/>
      <c r="U176" s="131"/>
      <c r="V176" s="30"/>
    </row>
    <row r="177" spans="2:22" x14ac:dyDescent="0.2">
      <c r="B177" s="14"/>
      <c r="C177" s="13"/>
      <c r="D177" s="19"/>
      <c r="E177" s="140" t="s">
        <v>125</v>
      </c>
      <c r="F177" s="141"/>
      <c r="G177" s="141"/>
      <c r="H177" s="142">
        <v>0</v>
      </c>
      <c r="I177" s="142">
        <v>0</v>
      </c>
      <c r="J177" s="14"/>
      <c r="K177" s="14"/>
      <c r="L177" s="14"/>
      <c r="M177" s="14"/>
      <c r="N177" s="142">
        <v>0</v>
      </c>
      <c r="O177" s="142">
        <v>0</v>
      </c>
      <c r="P177" s="142">
        <v>0</v>
      </c>
      <c r="Q177" s="142">
        <v>0</v>
      </c>
      <c r="R177" s="143">
        <f t="shared" si="1"/>
        <v>0</v>
      </c>
      <c r="S177" s="142">
        <v>0</v>
      </c>
      <c r="T177" s="216" t="str">
        <f t="shared" ref="T177:T192" si="2">IFERROR(O177/S177,"")</f>
        <v/>
      </c>
      <c r="U177" s="31"/>
      <c r="V177" s="14"/>
    </row>
    <row r="178" spans="2:22" x14ac:dyDescent="0.2">
      <c r="B178" s="14"/>
      <c r="C178" s="13"/>
      <c r="D178" s="19"/>
      <c r="E178" s="140" t="s">
        <v>126</v>
      </c>
      <c r="F178" s="141"/>
      <c r="G178" s="141"/>
      <c r="H178" s="142">
        <f>'[6]Note 23 (P&amp;E)'!$D$26*1000</f>
        <v>322801.21228511876</v>
      </c>
      <c r="I178" s="491">
        <v>0</v>
      </c>
      <c r="J178" s="14"/>
      <c r="K178" s="14"/>
      <c r="L178" s="14"/>
      <c r="M178" s="14"/>
      <c r="N178" s="142">
        <f>GETPIVOTDATA("Sum of 2016/17",'[4]ESC Cap Wks'!$A$3,"ACCOUNT NAME","Installation of CCTV cameras","Statement of Capital Works - Asset Class","Plant, machinery and equipment","Statement of Capital Works - N/R/U","New asset expenditure")</f>
        <v>7000</v>
      </c>
      <c r="O178" s="142">
        <f>SUM('[4]ESC Cap Wks'!$B$126:$B$128)</f>
        <v>165000</v>
      </c>
      <c r="P178" s="142">
        <v>0</v>
      </c>
      <c r="Q178" s="142">
        <v>0</v>
      </c>
      <c r="R178" s="143">
        <f t="shared" si="1"/>
        <v>172000</v>
      </c>
      <c r="S178" s="138">
        <f>'[4]ESC Depn by Class'!$C$13</f>
        <v>85128.44</v>
      </c>
      <c r="T178" s="216">
        <f t="shared" si="2"/>
        <v>1.9382476643528297</v>
      </c>
      <c r="U178" s="31"/>
      <c r="V178" s="14"/>
    </row>
    <row r="179" spans="2:22" x14ac:dyDescent="0.2">
      <c r="B179" s="14"/>
      <c r="C179" s="13"/>
      <c r="D179" s="19"/>
      <c r="E179" s="140" t="s">
        <v>127</v>
      </c>
      <c r="F179" s="141"/>
      <c r="G179" s="141"/>
      <c r="H179" s="142">
        <f>'[6]Note 23 (P&amp;E)'!$E$26*1000</f>
        <v>87554.922219178174</v>
      </c>
      <c r="I179" s="491">
        <v>0.05</v>
      </c>
      <c r="J179" s="14"/>
      <c r="K179" s="14"/>
      <c r="L179" s="14"/>
      <c r="M179" s="14"/>
      <c r="N179" s="142">
        <v>0</v>
      </c>
      <c r="O179" s="142">
        <f>GETPIVOTDATA("Sum of 2016/17",'[4]ESC Cap Wks'!$A$3,"ACCOUNT NAME","Annual Renewal Program - Renewal Other Assets - Renewal fixtures and fittings","Statement of Capital Works - Asset Class","Fixtures, fittings and furniture","Statement of Capital Works - N/R/U","Asset renewal expenditure")</f>
        <v>5000</v>
      </c>
      <c r="P179" s="142">
        <v>0</v>
      </c>
      <c r="Q179" s="142">
        <v>0</v>
      </c>
      <c r="R179" s="143">
        <f t="shared" si="1"/>
        <v>5000</v>
      </c>
      <c r="S179" s="142">
        <f>'[4]ESC Depn by Class'!$C$12</f>
        <v>29243.200000000001</v>
      </c>
      <c r="T179" s="216">
        <f t="shared" si="2"/>
        <v>0.17097992011818131</v>
      </c>
      <c r="U179" s="31"/>
      <c r="V179" s="14"/>
    </row>
    <row r="180" spans="2:22" x14ac:dyDescent="0.2">
      <c r="B180" s="14"/>
      <c r="C180" s="13"/>
      <c r="D180" s="19"/>
      <c r="E180" s="140" t="s">
        <v>128</v>
      </c>
      <c r="F180" s="141"/>
      <c r="G180" s="141"/>
      <c r="H180" s="142">
        <f>('[6]Note 23 (P&amp;E)'!$F$26*1000)+'[7]WIP Fixed Asset Register'!$H$32</f>
        <v>294545.28515169967</v>
      </c>
      <c r="I180" s="491">
        <v>0</v>
      </c>
      <c r="J180" s="14"/>
      <c r="K180" s="14"/>
      <c r="L180" s="14"/>
      <c r="M180" s="14"/>
      <c r="N180" s="142">
        <f>GETPIVOTDATA("Sum of 2016/17",'[4]ESC Cap Wks'!$A$3,"ACCOUNT NAME","Purchase and implementation of new finance system","Statement of Capital Works - Asset Class","Computers and telecommunications","Statement of Capital Works - N/R/U","New asset expenditure")</f>
        <v>156863.82999999999</v>
      </c>
      <c r="O180" s="142">
        <f>GETPIVOTDATA("Sum of 2016/17",'[4]ESC Cap Wks'!$A$3,"ACCOUNT NAME","Annual Renewal Program - Renewal Other Assets - Renewal computer and telephone equipment","Statement of Capital Works - Asset Class","Computers and telecommunications","Statement of Capital Works - N/R/U","Asset renewal expenditure")</f>
        <v>58800</v>
      </c>
      <c r="P180" s="142">
        <v>0</v>
      </c>
      <c r="Q180" s="142">
        <v>0</v>
      </c>
      <c r="R180" s="143">
        <f t="shared" si="1"/>
        <v>215663.83</v>
      </c>
      <c r="S180" s="138">
        <f>'[4]ESC Depn by Class'!$C$11</f>
        <v>18382.560000000001</v>
      </c>
      <c r="T180" s="216">
        <f t="shared" si="2"/>
        <v>3.1986839700237613</v>
      </c>
      <c r="U180" s="31"/>
      <c r="V180" s="14"/>
    </row>
    <row r="181" spans="2:22" x14ac:dyDescent="0.2">
      <c r="B181" s="14"/>
      <c r="C181" s="13"/>
      <c r="D181" s="19"/>
      <c r="E181" s="140" t="s">
        <v>129</v>
      </c>
      <c r="F181" s="141"/>
      <c r="G181" s="141"/>
      <c r="H181" s="142"/>
      <c r="I181" s="142">
        <v>0</v>
      </c>
      <c r="J181" s="14"/>
      <c r="K181" s="14"/>
      <c r="L181" s="14"/>
      <c r="M181" s="14"/>
      <c r="N181" s="142">
        <v>0</v>
      </c>
      <c r="O181" s="142">
        <v>0</v>
      </c>
      <c r="P181" s="142">
        <v>0</v>
      </c>
      <c r="Q181" s="142">
        <v>0</v>
      </c>
      <c r="R181" s="143">
        <f t="shared" si="1"/>
        <v>0</v>
      </c>
      <c r="S181" s="142">
        <v>0</v>
      </c>
      <c r="T181" s="216" t="str">
        <f t="shared" si="2"/>
        <v/>
      </c>
      <c r="U181" s="31"/>
      <c r="V181" s="14"/>
    </row>
    <row r="182" spans="2:22" x14ac:dyDescent="0.2">
      <c r="B182" s="14"/>
      <c r="C182" s="13"/>
      <c r="D182" s="19"/>
      <c r="E182" s="144" t="s">
        <v>130</v>
      </c>
      <c r="F182" s="141"/>
      <c r="G182" s="141"/>
      <c r="H182" s="141"/>
      <c r="I182" s="141"/>
      <c r="J182" s="14"/>
      <c r="K182" s="14"/>
      <c r="L182" s="14"/>
      <c r="M182" s="14"/>
      <c r="N182" s="141"/>
      <c r="O182" s="141"/>
      <c r="P182" s="141"/>
      <c r="Q182" s="141"/>
      <c r="R182" s="141"/>
      <c r="S182" s="141"/>
      <c r="T182" s="217"/>
      <c r="U182" s="31"/>
      <c r="V182" s="14"/>
    </row>
    <row r="183" spans="2:22" x14ac:dyDescent="0.2">
      <c r="B183" s="14"/>
      <c r="C183" s="13"/>
      <c r="D183" s="19"/>
      <c r="E183" s="140" t="s">
        <v>131</v>
      </c>
      <c r="F183" s="141"/>
      <c r="G183" s="141"/>
      <c r="H183" s="142">
        <f>('[6]Note 23 (Infra)'!$D$27*1000)+'[7]WIP Fixed Asset Register'!$H$18</f>
        <v>11396880.107404137</v>
      </c>
      <c r="I183" s="491">
        <v>0.05</v>
      </c>
      <c r="J183" s="14"/>
      <c r="K183" s="14"/>
      <c r="L183" s="14"/>
      <c r="M183" s="14"/>
      <c r="N183" s="142">
        <f>(0.35*(0.03*GETPIVOTDATA("Sum of 2016/17",'[4]ESC Cap Wks'!$A$3,"ACCOUNT NAME","Develop Stage 2 of the Queenscliff Sports &amp; Recreation Precinct Development Plan","Statement of Capital Works - Asset Class","50% Buildings, 47% RL&amp;CF, 3% Roads","Statement of Capital Works - N/R/U","15% renewal, 50% upgrade, 35% new")))</f>
        <v>3076.5</v>
      </c>
      <c r="O183" s="142">
        <f>(0.15*(0.03*GETPIVOTDATA("Sum of 2016/17",'[4]ESC Cap Wks'!$A$3,"ACCOUNT NAME","Develop Stage 2 of the Queenscliff Sports &amp; Recreation Precinct Development Plan","Statement of Capital Works - Asset Class","50% Buildings, 47% RL&amp;CF, 3% Roads","Statement of Capital Works - N/R/U","15% renewal, 50% upgrade, 35% new")))+(SUM(GETPIVOTDATA("Sum of 2016/17",'[4]ESC Cap Wks'!$A$3,"ACCOUNT NAME","Annual Renewal Program - Renewal Car Parks &amp; Roads - Renewal access roads for reserves, parks and carparks","Statement of Capital Works - Asset Class","Roads","Statement of Capital Works - N/R/U","Asset renewal expenditure"),'[4]ESC Cap Wks'!$B$150:$B$151))</f>
        <v>82318.5</v>
      </c>
      <c r="P183" s="142">
        <v>0</v>
      </c>
      <c r="Q183" s="142">
        <f>(0.5*(0.03*GETPIVOTDATA("Sum of 2016/17",'[4]ESC Cap Wks'!$A$3,"ACCOUNT NAME","Develop Stage 2 of the Queenscliff Sports &amp; Recreation Precinct Development Plan","Statement of Capital Works - Asset Class","50% Buildings, 47% RL&amp;CF, 3% Roads","Statement of Capital Works - N/R/U","15% renewal, 50% upgrade, 35% new")))</f>
        <v>4395</v>
      </c>
      <c r="R183" s="143">
        <f t="shared" si="1"/>
        <v>89790</v>
      </c>
      <c r="S183" s="138">
        <f>'[4]ESC Depn by Class'!$C$7+'[4]ESC Depn by Class'!$C$8</f>
        <v>254552</v>
      </c>
      <c r="T183" s="216">
        <f t="shared" si="2"/>
        <v>0.32338579150821833</v>
      </c>
      <c r="U183" s="31"/>
      <c r="V183" s="14"/>
    </row>
    <row r="184" spans="2:22" x14ac:dyDescent="0.2">
      <c r="B184" s="14"/>
      <c r="C184" s="13"/>
      <c r="D184" s="19"/>
      <c r="E184" s="140" t="s">
        <v>132</v>
      </c>
      <c r="F184" s="141"/>
      <c r="G184" s="141"/>
      <c r="H184" s="142">
        <v>0</v>
      </c>
      <c r="I184" s="491">
        <v>0</v>
      </c>
      <c r="J184" s="14"/>
      <c r="K184" s="14"/>
      <c r="L184" s="14"/>
      <c r="M184" s="14"/>
      <c r="N184" s="142">
        <v>0</v>
      </c>
      <c r="O184" s="142">
        <v>0</v>
      </c>
      <c r="P184" s="142">
        <v>0</v>
      </c>
      <c r="Q184" s="142">
        <v>0</v>
      </c>
      <c r="R184" s="143">
        <f t="shared" si="1"/>
        <v>0</v>
      </c>
      <c r="S184" s="138"/>
      <c r="T184" s="216" t="str">
        <f t="shared" si="2"/>
        <v/>
      </c>
      <c r="U184" s="31"/>
      <c r="V184" s="14"/>
    </row>
    <row r="185" spans="2:22" x14ac:dyDescent="0.2">
      <c r="B185" s="14"/>
      <c r="C185" s="13"/>
      <c r="D185" s="19"/>
      <c r="E185" s="140" t="s">
        <v>133</v>
      </c>
      <c r="F185" s="141"/>
      <c r="G185" s="141"/>
      <c r="H185" s="142">
        <f>'[6]Note 23 (Infra)'!$E$27*1000</f>
        <v>1007334.0129316942</v>
      </c>
      <c r="I185" s="491">
        <v>0.1</v>
      </c>
      <c r="J185" s="14"/>
      <c r="K185" s="14"/>
      <c r="L185" s="14"/>
      <c r="M185" s="14"/>
      <c r="N185" s="142">
        <v>0</v>
      </c>
      <c r="O185" s="142">
        <f>(0.5*GETPIVOTDATA("Sum of 2016/17",'[4]ESC Cap Wks'!$A$3,"ACCOUNT NAME","Footpath Strategy","Statement of Capital Works - Asset Class","Footpaths and cycleways","Statement of Capital Works - N/R/U","50% renewal, 50% upgrade"))+GETPIVOTDATA("Sum of 2016/17",'[4]ESC Cap Wks'!$A$3,"ACCOUNT NAME","Annual Renewal Program - Renewal Infrastructure - Renewal Footpaths","Statement of Capital Works - Asset Class","Footpaths and cycleways","Statement of Capital Works - N/R/U","Asset renewal expenditure")</f>
        <v>22000</v>
      </c>
      <c r="P185" s="142">
        <v>0</v>
      </c>
      <c r="Q185" s="142">
        <f>(0.5*GETPIVOTDATA("Sum of 2016/17",'[4]ESC Cap Wks'!$A$3,"ACCOUNT NAME","Footpath Strategy","Statement of Capital Works - Asset Class","Footpaths and cycleways","Statement of Capital Works - N/R/U","50% renewal, 50% upgrade"))+GETPIVOTDATA("Sum of 2016/17",'[4]ESC Cap Wks'!$A$3,"ACCOUNT NAME","Extend rail trail path upgrade from The Narrows to Point Lonsdale P.S.","Statement of Capital Works - Asset Class","Footpaths and cycleways","Statement of Capital Works - N/R/U","Asset upgrade expenditure")</f>
        <v>90000</v>
      </c>
      <c r="R185" s="143">
        <f t="shared" si="1"/>
        <v>112000</v>
      </c>
      <c r="S185" s="138">
        <f>'[4]ESC Depn by Class'!$C$5</f>
        <v>29996</v>
      </c>
      <c r="T185" s="216">
        <f t="shared" si="2"/>
        <v>0.73343112414988665</v>
      </c>
      <c r="U185" s="31"/>
      <c r="V185" s="14"/>
    </row>
    <row r="186" spans="2:22" x14ac:dyDescent="0.2">
      <c r="B186" s="14"/>
      <c r="C186" s="13"/>
      <c r="D186" s="19"/>
      <c r="E186" s="140" t="s">
        <v>134</v>
      </c>
      <c r="F186" s="141"/>
      <c r="G186" s="141"/>
      <c r="H186" s="142">
        <f>'[6]Note 23 (Infra)'!$F$27*1000</f>
        <v>2362104.9331474127</v>
      </c>
      <c r="I186" s="491">
        <v>0.05</v>
      </c>
      <c r="J186" s="14"/>
      <c r="K186" s="14"/>
      <c r="L186" s="14"/>
      <c r="M186" s="14"/>
      <c r="N186" s="142">
        <v>0</v>
      </c>
      <c r="O186" s="142">
        <f>GETPIVOTDATA("Sum of 2016/17",'[4]ESC Cap Wks'!$A$3,"ACCOUNT NAME","Annual Renewal Program - Renewal Infrastructure - Renewal Drainage","Statement of Capital Works - Asset Class","Drainage","Statement of Capital Works - N/R/U","Asset renewal expenditure")</f>
        <v>45000</v>
      </c>
      <c r="P186" s="142">
        <v>0</v>
      </c>
      <c r="Q186" s="142">
        <v>0</v>
      </c>
      <c r="R186" s="143">
        <f t="shared" si="1"/>
        <v>45000</v>
      </c>
      <c r="S186" s="138">
        <f>'[4]ESC Depn by Class'!$C$4</f>
        <v>44583.88</v>
      </c>
      <c r="T186" s="216">
        <f t="shared" si="2"/>
        <v>1.0093334182668714</v>
      </c>
      <c r="U186" s="31"/>
      <c r="V186" s="14"/>
    </row>
    <row r="187" spans="2:22" ht="25.5" x14ac:dyDescent="0.2">
      <c r="B187" s="14"/>
      <c r="C187" s="13"/>
      <c r="D187" s="19"/>
      <c r="E187" s="140" t="s">
        <v>135</v>
      </c>
      <c r="F187" s="141"/>
      <c r="G187" s="141"/>
      <c r="H187" s="142">
        <f>('[6]Note 23 (Infra)'!$G$27*1000)+(SUM('[7]WIP Fixed Asset Register'!$H$20:$H$22))</f>
        <v>1861513.9850558906</v>
      </c>
      <c r="I187" s="491">
        <v>0.15</v>
      </c>
      <c r="J187" s="14"/>
      <c r="K187" s="14"/>
      <c r="L187" s="14"/>
      <c r="M187" s="14"/>
      <c r="N187" s="142">
        <f>(0.35*(0.47*GETPIVOTDATA("Sum of 2016/17",'[4]ESC Cap Wks'!$A$3,"ACCOUNT NAME","Develop Stage 2 of the Queenscliff Sports &amp; Recreation Precinct Development Plan","Statement of Capital Works - Asset Class","50% Buildings, 47% RL&amp;CF, 3% Roads","Statement of Capital Works - N/R/U","15% renewal, 50% upgrade, 35% new")))+(0.25*(0.5*(SUM('[4]ESC Cap Wks'!$B$17:$B$18))))+GETPIVOTDATA("Sum of 2016/17",'[4]ESC Cap Wks'!$A$3,"ACCOUNT NAME","Improve the amenity of vacant land adjacent to Town Hall","Statement of Capital Works - Asset Class","Recreational, leisure and community facilities","Statement of Capital Works - N/R/U","New asset expenditure")</f>
        <v>80473.5</v>
      </c>
      <c r="O187" s="142">
        <f>(0.8*(0.2*GETPIVOTDATA("Sum of 2016/17",'[4]ESC Cap Wks'!$A$3,"ACCOUNT NAME","Point Lonsdale Foreshore Revitalisation - Stage 3: Village Park Upgrade","Statement of Capital Works - Asset Class","50% Buildings, 30% Parks, open space and streetscapes, 20% RL&amp;CF","Statement of Capital Works - N/R/U","80% renewal, 20% upgrade")))+(0.15*(0.47*GETPIVOTDATA("Sum of 2016/17",'[4]ESC Cap Wks'!$A$3,"ACCOUNT NAME","Develop Stage 2 of the Queenscliff Sports &amp; Recreation Precinct Development Plan","Statement of Capital Works - Asset Class","50% Buildings, 47% RL&amp;CF, 3% Roads","Statement of Capital Works - N/R/U","15% renewal, 50% upgrade, 35% new")))+(0.6*(0.5*(SUM('[4]ESC Cap Wks'!$B$17:$B$18))))+(SUM('[4]ESC Cap Wks'!$B$133:$B$137))</f>
        <v>146476.76560000001</v>
      </c>
      <c r="P187" s="142">
        <v>0</v>
      </c>
      <c r="Q187" s="142">
        <f>(0.2*(0.2*GETPIVOTDATA("Sum of 2016/17",'[4]ESC Cap Wks'!$A$3,"ACCOUNT NAME","Point Lonsdale Foreshore Revitalisation - Stage 3: Village Park Upgrade","Statement of Capital Works - Asset Class","50% Buildings, 30% Parks, open space and streetscapes, 20% RL&amp;CF","Statement of Capital Works - N/R/U","80% renewal, 20% upgrade")))+(0.5*(0.47*GETPIVOTDATA("Sum of 2016/17",'[4]ESC Cap Wks'!$A$3,"ACCOUNT NAME","Develop Stage 2 of the Queenscliff Sports &amp; Recreation Precinct Development Plan","Statement of Capital Works - Asset Class","50% Buildings, 47% RL&amp;CF, 3% Roads","Statement of Capital Works - N/R/U","15% renewal, 50% upgrade, 35% new")))+(0.15*(0.5*(SUM('[4]ESC Cap Wks'!$B$17:$B$18))))+GETPIVOTDATA("Sum of 2016/17",'[4]ESC Cap Wks'!$A$3,"ACCOUNT NAME","Queenscliff Recreation Reserve &amp; Caravan Parks Masterplan","Statement of Capital Works - Asset Class","Recreational, leisure and community facilities","Statement of Capital Works - N/R/U","Asset upgrade expenditure")</f>
        <v>149410.06640000001</v>
      </c>
      <c r="R187" s="143">
        <f t="shared" si="1"/>
        <v>376360.33200000005</v>
      </c>
      <c r="S187" s="138">
        <f>'[4]ESC Depn by Class'!$C$9</f>
        <v>91256.86</v>
      </c>
      <c r="T187" s="216">
        <f t="shared" si="2"/>
        <v>1.6051041598406959</v>
      </c>
      <c r="U187" s="31"/>
      <c r="V187" s="14"/>
    </row>
    <row r="188" spans="2:22" x14ac:dyDescent="0.2">
      <c r="B188" s="14"/>
      <c r="C188" s="13"/>
      <c r="D188" s="19"/>
      <c r="E188" s="140" t="s">
        <v>136</v>
      </c>
      <c r="F188" s="141"/>
      <c r="G188" s="141"/>
      <c r="H188" s="142">
        <f>'[6]Note 23 (Infra)'!$H$27*1000</f>
        <v>149982.97000000003</v>
      </c>
      <c r="I188" s="142">
        <v>0</v>
      </c>
      <c r="J188" s="14"/>
      <c r="K188" s="14"/>
      <c r="L188" s="14"/>
      <c r="M188" s="14"/>
      <c r="N188" s="142">
        <v>0</v>
      </c>
      <c r="O188" s="142">
        <v>0</v>
      </c>
      <c r="P188" s="142">
        <v>0</v>
      </c>
      <c r="Q188" s="142">
        <v>0</v>
      </c>
      <c r="R188" s="143">
        <f t="shared" si="1"/>
        <v>0</v>
      </c>
      <c r="S188" s="142">
        <f>'[4]ESC Depn by Class'!$C$2</f>
        <v>18463.759999999998</v>
      </c>
      <c r="T188" s="216">
        <f t="shared" si="2"/>
        <v>0</v>
      </c>
      <c r="U188" s="31"/>
      <c r="V188" s="14"/>
    </row>
    <row r="189" spans="2:22" x14ac:dyDescent="0.2">
      <c r="B189" s="14"/>
      <c r="C189" s="13"/>
      <c r="D189" s="19"/>
      <c r="E189" s="140" t="s">
        <v>137</v>
      </c>
      <c r="F189" s="141"/>
      <c r="G189" s="141"/>
      <c r="H189" s="142">
        <f>('[6]Note 23 (Infra)'!$I$27*1000)+(SUM('[7]WIP Fixed Asset Register'!$H$24:$H$25))</f>
        <v>1557756.1790558905</v>
      </c>
      <c r="I189" s="491">
        <v>0.02</v>
      </c>
      <c r="J189" s="14"/>
      <c r="K189" s="14"/>
      <c r="L189" s="14"/>
      <c r="M189" s="14"/>
      <c r="N189" s="142">
        <f>GETPIVOTDATA("Sum of 2016/17",'[4]ESC Cap Wks'!$A$3,"ACCOUNT NAME","Queenscliff Front Beach Boardwalk","Statement of Capital Works - Asset Class","Parks, open space and streetscapes","Statement of Capital Works - N/R/U","New asset expenditure")</f>
        <v>90000</v>
      </c>
      <c r="O189" s="142">
        <f>(0.8*(0.3*GETPIVOTDATA("Sum of 2016/17",'[4]ESC Cap Wks'!$A$3,"ACCOUNT NAME","Point Lonsdale Foreshore Revitalisation - Stage 3: Village Park Upgrade","Statement of Capital Works - Asset Class","50% Buildings, 30% Parks, open space and streetscapes, 20% RL&amp;CF","Statement of Capital Works - N/R/U","80% renewal, 20% upgrade")))+(SUM('[4]ESC Cap Wks'!$B$114:$B$116))</f>
        <v>73343.248399999997</v>
      </c>
      <c r="P189" s="142">
        <v>0</v>
      </c>
      <c r="Q189" s="142">
        <f>(0.2*(0.3*GETPIVOTDATA("Sum of 2016/17",'[4]ESC Cap Wks'!$A$3,"ACCOUNT NAME","Point Lonsdale Foreshore Revitalisation - Stage 3: Village Park Upgrade","Statement of Capital Works - Asset Class","50% Buildings, 30% Parks, open space and streetscapes, 20% RL&amp;CF","Statement of Capital Works - N/R/U","80% renewal, 20% upgrade")))</f>
        <v>13485.0996</v>
      </c>
      <c r="R189" s="143">
        <f t="shared" si="1"/>
        <v>176828.34799999997</v>
      </c>
      <c r="S189" s="142">
        <f>'[4]ESC Depn by Class'!$C$10</f>
        <v>69765.710000000006</v>
      </c>
      <c r="T189" s="216">
        <f t="shared" si="2"/>
        <v>1.0512793233237359</v>
      </c>
      <c r="U189" s="31"/>
      <c r="V189" s="14"/>
    </row>
    <row r="190" spans="2:22" x14ac:dyDescent="0.2">
      <c r="B190" s="14"/>
      <c r="C190" s="13"/>
      <c r="D190" s="19"/>
      <c r="E190" s="140" t="s">
        <v>138</v>
      </c>
      <c r="F190" s="141"/>
      <c r="G190" s="141"/>
      <c r="H190" s="142"/>
      <c r="I190" s="491">
        <v>0</v>
      </c>
      <c r="J190" s="14"/>
      <c r="K190" s="14"/>
      <c r="L190" s="14"/>
      <c r="M190" s="14"/>
      <c r="N190" s="142">
        <v>0</v>
      </c>
      <c r="O190" s="142">
        <v>0</v>
      </c>
      <c r="P190" s="142">
        <v>0</v>
      </c>
      <c r="Q190" s="142">
        <v>0</v>
      </c>
      <c r="R190" s="143">
        <f t="shared" si="1"/>
        <v>0</v>
      </c>
      <c r="S190" s="142">
        <v>0</v>
      </c>
      <c r="T190" s="216" t="str">
        <f t="shared" si="2"/>
        <v/>
      </c>
      <c r="U190" s="31"/>
      <c r="V190" s="14"/>
    </row>
    <row r="191" spans="2:22" x14ac:dyDescent="0.2">
      <c r="B191" s="14"/>
      <c r="C191" s="13"/>
      <c r="D191" s="19"/>
      <c r="E191" s="145" t="s">
        <v>139</v>
      </c>
      <c r="F191" s="146"/>
      <c r="G191" s="146"/>
      <c r="H191" s="142">
        <f>'[6]Note 23 (Infra)'!$J$27*1000</f>
        <v>529577.00240504916</v>
      </c>
      <c r="I191" s="491">
        <v>0</v>
      </c>
      <c r="J191" s="14"/>
      <c r="K191" s="14"/>
      <c r="L191" s="14"/>
      <c r="M191" s="14"/>
      <c r="N191" s="142">
        <v>0</v>
      </c>
      <c r="O191" s="142">
        <f>(0.9*GETPIVOTDATA("Sum of 2016/17",'[4]ESC Cap Wks'!$A$3,"ACCOUNT NAME","Dog Beach Carpark Upgrade","Statement of Capital Works - Asset Class","Off street car parks","Statement of Capital Works - N/R/U","90% renewal, 10% upgrade"))</f>
        <v>1710</v>
      </c>
      <c r="P191" s="142">
        <v>0</v>
      </c>
      <c r="Q191" s="142">
        <f>(0.1*GETPIVOTDATA("Sum of 2016/17",'[4]ESC Cap Wks'!$A$3,"ACCOUNT NAME","Dog Beach Carpark Upgrade","Statement of Capital Works - Asset Class","Off street car parks","Statement of Capital Works - N/R/U","90% renewal, 10% upgrade"))</f>
        <v>190</v>
      </c>
      <c r="R191" s="148">
        <f t="shared" si="1"/>
        <v>1900</v>
      </c>
      <c r="S191" s="147">
        <f>'[4]ESC Depn by Class'!$C$6</f>
        <v>13374</v>
      </c>
      <c r="T191" s="218">
        <f t="shared" si="2"/>
        <v>0.12786002691790041</v>
      </c>
      <c r="U191" s="31"/>
      <c r="V191" s="14"/>
    </row>
    <row r="192" spans="2:22" ht="13.5" thickBot="1" x14ac:dyDescent="0.25">
      <c r="B192" s="14"/>
      <c r="C192" s="13"/>
      <c r="D192" s="19"/>
      <c r="E192" s="132" t="s">
        <v>140</v>
      </c>
      <c r="F192" s="133"/>
      <c r="G192" s="133"/>
      <c r="H192" s="134">
        <f>'[6]Note 23 (Infra)'!$K$27*1000</f>
        <v>408315.50804931502</v>
      </c>
      <c r="I192" s="134">
        <v>0</v>
      </c>
      <c r="J192" s="14"/>
      <c r="K192" s="14"/>
      <c r="L192" s="14"/>
      <c r="M192" s="14"/>
      <c r="N192" s="134">
        <f>SUM(GETPIVOTDATA("Sum of 2016/17",'[4]ESC Cap Wks'!$A$3,"ACCOUNT NAME","CSIRO C-Fast Modelling Project - Increase number of water fountains in Borough","Statement of Capital Works - Asset Class","Other infrastructure","Statement of Capital Works - N/R/U","New asset expenditure"),'[4]ESC Cap Wks'!$B$102:$B$104,GETPIVOTDATA("Sum of 2016/17",'[4]ESC Cap Wks'!$A$3,"ACCOUNT NAME","Streetlight Replacement to LED","Statement of Capital Works - Asset Class","Other infrastructure","Statement of Capital Works - N/R/U","New asset expenditure"))</f>
        <v>198000</v>
      </c>
      <c r="O192" s="134">
        <f>GETPIVOTDATA("Sum of 2016/17",'[4]ESC Cap Wks'!$A$3,"ACCOUNT NAME","Towns entry and main road tourism signage plan","Statement of Capital Works - Asset Class","Other infrastructure","Statement of Capital Works - N/R/U","Asset renewal expenditure")</f>
        <v>9060</v>
      </c>
      <c r="P192" s="134">
        <v>0</v>
      </c>
      <c r="Q192" s="134">
        <f>GETPIVOTDATA("Sum of 2016/17",'[4]ESC Cap Wks'!$A$3,"ACCOUNT NAME","Street Signs Upgrade","Statement of Capital Works - Asset Class","Other infrastructure","Statement of Capital Works - N/R/U","Asset upgrade expenditure")</f>
        <v>20000</v>
      </c>
      <c r="R192" s="135">
        <f t="shared" si="1"/>
        <v>227060</v>
      </c>
      <c r="S192" s="134">
        <f>'[4]ESC Depn by Class'!$C$3</f>
        <v>11960.13</v>
      </c>
      <c r="T192" s="219">
        <f t="shared" si="2"/>
        <v>0.75751684973323874</v>
      </c>
      <c r="U192" s="31"/>
      <c r="V192" s="14"/>
    </row>
    <row r="193" spans="2:22" ht="13.5" thickTop="1" x14ac:dyDescent="0.2">
      <c r="B193" s="14"/>
      <c r="C193" s="13"/>
      <c r="D193" s="14"/>
      <c r="E193" s="136"/>
      <c r="F193" s="137" t="s">
        <v>87</v>
      </c>
      <c r="G193" s="129"/>
      <c r="H193" s="57">
        <f>SUM(H170:H192)</f>
        <v>126209883.21383908</v>
      </c>
      <c r="I193" s="57"/>
      <c r="J193" s="14"/>
      <c r="K193" s="14"/>
      <c r="L193" s="14"/>
      <c r="M193" s="14"/>
      <c r="N193" s="57">
        <f t="shared" ref="N193:S193" si="3">SUM(N170:N192)</f>
        <v>612163.82999999996</v>
      </c>
      <c r="O193" s="57">
        <f t="shared" si="3"/>
        <v>851434.89200000011</v>
      </c>
      <c r="P193" s="57">
        <f t="shared" si="3"/>
        <v>0</v>
      </c>
      <c r="Q193" s="57">
        <f t="shared" si="3"/>
        <v>392877.45800000004</v>
      </c>
      <c r="R193" s="57">
        <f t="shared" si="3"/>
        <v>1856476.18</v>
      </c>
      <c r="S193" s="57">
        <f t="shared" si="3"/>
        <v>1121233.8436</v>
      </c>
      <c r="T193" s="127"/>
      <c r="U193" s="31"/>
      <c r="V193" s="14"/>
    </row>
    <row r="194" spans="2:22" ht="13.5" thickBot="1" x14ac:dyDescent="0.25">
      <c r="B194" s="14"/>
      <c r="C194" s="117"/>
      <c r="D194" s="33"/>
      <c r="E194" s="33"/>
      <c r="F194" s="33"/>
      <c r="G194" s="33"/>
      <c r="H194" s="33"/>
      <c r="I194" s="33"/>
      <c r="J194" s="33"/>
      <c r="K194" s="36"/>
      <c r="L194" s="36"/>
      <c r="M194" s="36"/>
      <c r="N194" s="36"/>
      <c r="O194" s="36"/>
      <c r="P194" s="36"/>
      <c r="Q194" s="36"/>
      <c r="R194" s="36"/>
      <c r="S194" s="36"/>
      <c r="T194" s="36"/>
      <c r="U194" s="121"/>
      <c r="V194" s="14"/>
    </row>
    <row r="195" spans="2:22" x14ac:dyDescent="0.2">
      <c r="B195" s="14"/>
      <c r="C195" s="14"/>
      <c r="F195" s="6"/>
      <c r="G195" s="6"/>
      <c r="I195" s="38"/>
      <c r="J195" s="38"/>
      <c r="K195" s="38"/>
      <c r="L195" s="38"/>
      <c r="M195" s="38"/>
      <c r="N195" s="38"/>
      <c r="O195" s="38"/>
      <c r="P195" s="38"/>
      <c r="Q195" s="38"/>
      <c r="R195" s="38"/>
      <c r="S195" s="38"/>
      <c r="T195" s="38"/>
      <c r="U195" s="14"/>
      <c r="V195" s="14"/>
    </row>
    <row r="196" spans="2:22" x14ac:dyDescent="0.2">
      <c r="E196" s="6"/>
      <c r="F196" s="6"/>
      <c r="G196" s="6"/>
      <c r="I196" s="38"/>
      <c r="J196" s="38"/>
      <c r="K196" s="38"/>
      <c r="L196" s="38"/>
      <c r="M196" s="38"/>
      <c r="N196" s="38"/>
      <c r="O196" s="38"/>
      <c r="P196" s="38"/>
      <c r="Q196" s="38"/>
      <c r="R196" s="38"/>
      <c r="S196" s="38"/>
      <c r="T196" s="38"/>
    </row>
    <row r="197" spans="2:22" x14ac:dyDescent="0.2">
      <c r="E197" s="6"/>
      <c r="F197" s="6"/>
      <c r="G197" s="6"/>
    </row>
    <row r="198" spans="2:22" x14ac:dyDescent="0.2">
      <c r="E198" s="6"/>
      <c r="F198" s="6"/>
      <c r="G198" s="6"/>
    </row>
    <row r="199" spans="2:22" x14ac:dyDescent="0.2">
      <c r="E199" s="6"/>
      <c r="F199" s="6"/>
      <c r="G199" s="6"/>
    </row>
    <row r="200" spans="2:22" x14ac:dyDescent="0.2">
      <c r="E200" s="6"/>
      <c r="F200" s="6"/>
      <c r="G200" s="6"/>
    </row>
    <row r="201" spans="2:22" x14ac:dyDescent="0.2">
      <c r="E201" s="6"/>
      <c r="F201" s="6"/>
      <c r="G201" s="6"/>
    </row>
    <row r="202" spans="2:22" x14ac:dyDescent="0.2">
      <c r="E202" s="6"/>
      <c r="F202" s="6"/>
      <c r="G202" s="6"/>
    </row>
    <row r="203" spans="2:22" x14ac:dyDescent="0.2">
      <c r="E203" s="6"/>
      <c r="F203" s="6"/>
      <c r="G203" s="6"/>
    </row>
    <row r="204" spans="2:22" x14ac:dyDescent="0.2">
      <c r="E204" s="6"/>
      <c r="F204" s="6"/>
      <c r="G204" s="6"/>
    </row>
    <row r="205" spans="2:22" x14ac:dyDescent="0.2">
      <c r="E205" s="6"/>
      <c r="F205" s="6"/>
      <c r="G205" s="6"/>
    </row>
    <row r="206" spans="2:22" x14ac:dyDescent="0.2">
      <c r="E206" s="6"/>
      <c r="F206" s="6"/>
      <c r="G206" s="6"/>
    </row>
    <row r="207" spans="2:22" x14ac:dyDescent="0.2">
      <c r="E207" s="6"/>
      <c r="F207" s="6"/>
      <c r="G207" s="6"/>
    </row>
    <row r="208" spans="2:22" x14ac:dyDescent="0.2">
      <c r="E208" s="6"/>
      <c r="F208" s="6"/>
      <c r="G208" s="6"/>
    </row>
    <row r="209" spans="5:7" x14ac:dyDescent="0.2">
      <c r="E209" s="6"/>
      <c r="F209" s="6"/>
      <c r="G209" s="6"/>
    </row>
    <row r="210" spans="5:7" x14ac:dyDescent="0.2">
      <c r="E210" s="6"/>
      <c r="F210" s="6"/>
      <c r="G210" s="6"/>
    </row>
    <row r="211" spans="5:7" x14ac:dyDescent="0.2">
      <c r="E211" s="6"/>
      <c r="F211" s="6"/>
      <c r="G211" s="6"/>
    </row>
    <row r="212" spans="5:7" x14ac:dyDescent="0.2">
      <c r="E212" s="6"/>
      <c r="F212" s="6"/>
      <c r="G212" s="6"/>
    </row>
    <row r="213" spans="5:7" x14ac:dyDescent="0.2">
      <c r="E213" s="6"/>
      <c r="F213" s="6"/>
      <c r="G213" s="6"/>
    </row>
    <row r="214" spans="5:7" x14ac:dyDescent="0.2">
      <c r="E214" s="6"/>
      <c r="F214" s="6"/>
      <c r="G214" s="6"/>
    </row>
    <row r="215" spans="5:7" ht="12.75" customHeight="1" x14ac:dyDescent="0.2">
      <c r="E215" s="6"/>
      <c r="F215" s="6"/>
      <c r="G215" s="6"/>
    </row>
    <row r="216" spans="5:7" ht="12.75" customHeight="1" x14ac:dyDescent="0.2">
      <c r="E216" s="6"/>
      <c r="F216" s="6"/>
      <c r="G216" s="6"/>
    </row>
    <row r="217" spans="5:7" ht="12.75" customHeight="1" x14ac:dyDescent="0.2">
      <c r="E217" s="6"/>
      <c r="F217" s="6"/>
      <c r="G217" s="6"/>
    </row>
    <row r="218" spans="5:7" ht="12.75" customHeight="1" x14ac:dyDescent="0.2">
      <c r="E218" s="6"/>
      <c r="F218" s="6"/>
      <c r="G218" s="6"/>
    </row>
    <row r="219" spans="5:7" ht="12.75" customHeight="1" x14ac:dyDescent="0.2">
      <c r="E219" s="6"/>
      <c r="F219" s="6"/>
      <c r="G219" s="6"/>
    </row>
    <row r="220" spans="5:7" ht="12.75" customHeight="1" x14ac:dyDescent="0.2">
      <c r="E220" s="6"/>
      <c r="F220" s="6"/>
      <c r="G220" s="6"/>
    </row>
    <row r="221" spans="5:7" ht="12.75" customHeight="1" x14ac:dyDescent="0.2">
      <c r="E221" s="6"/>
      <c r="F221" s="6"/>
      <c r="G221" s="6"/>
    </row>
    <row r="222" spans="5:7" ht="12.75" customHeight="1" x14ac:dyDescent="0.2">
      <c r="E222" s="6"/>
      <c r="F222" s="6"/>
      <c r="G222" s="6"/>
    </row>
    <row r="223" spans="5:7" ht="12.75" customHeight="1" x14ac:dyDescent="0.2">
      <c r="E223" s="6"/>
      <c r="F223" s="6"/>
      <c r="G223" s="6"/>
    </row>
    <row r="224" spans="5:7" ht="12.75" customHeight="1" x14ac:dyDescent="0.2">
      <c r="E224" s="6"/>
      <c r="F224" s="6"/>
      <c r="G224" s="6"/>
    </row>
    <row r="225" spans="5:7" ht="12.75" customHeight="1" x14ac:dyDescent="0.2">
      <c r="E225" s="6"/>
      <c r="F225" s="6"/>
      <c r="G225" s="6"/>
    </row>
    <row r="226" spans="5:7" ht="12.75" customHeight="1" x14ac:dyDescent="0.2">
      <c r="E226" s="6"/>
      <c r="F226" s="6"/>
      <c r="G226" s="6"/>
    </row>
    <row r="227" spans="5:7" ht="12.75" customHeight="1" x14ac:dyDescent="0.2">
      <c r="E227" s="6"/>
      <c r="F227" s="6"/>
      <c r="G227" s="6"/>
    </row>
    <row r="228" spans="5:7" ht="12.75" customHeight="1" x14ac:dyDescent="0.2">
      <c r="E228" s="6"/>
      <c r="F228" s="6"/>
      <c r="G228" s="6"/>
    </row>
    <row r="229" spans="5:7" ht="12.75" customHeight="1" x14ac:dyDescent="0.2">
      <c r="E229" s="6"/>
      <c r="F229" s="6"/>
      <c r="G229" s="6"/>
    </row>
    <row r="230" spans="5:7" ht="12.75" customHeight="1" x14ac:dyDescent="0.2">
      <c r="E230" s="6"/>
      <c r="F230" s="6"/>
      <c r="G230" s="6"/>
    </row>
    <row r="231" spans="5:7" ht="12.75" customHeight="1" x14ac:dyDescent="0.2">
      <c r="E231" s="6"/>
      <c r="F231" s="6"/>
      <c r="G231" s="6"/>
    </row>
    <row r="232" spans="5:7" ht="12.75" customHeight="1" x14ac:dyDescent="0.2">
      <c r="E232" s="6"/>
      <c r="F232" s="6"/>
      <c r="G232" s="6"/>
    </row>
    <row r="233" spans="5:7" ht="12.75" customHeight="1" x14ac:dyDescent="0.2">
      <c r="E233" s="6"/>
      <c r="F233" s="6"/>
      <c r="G233" s="6"/>
    </row>
    <row r="234" spans="5:7" ht="12.75" customHeight="1" x14ac:dyDescent="0.2">
      <c r="E234" s="6"/>
      <c r="F234" s="6"/>
      <c r="G234" s="6"/>
    </row>
    <row r="235" spans="5:7" ht="12.75" customHeight="1" x14ac:dyDescent="0.2">
      <c r="E235" s="6"/>
      <c r="F235" s="6"/>
      <c r="G235" s="6"/>
    </row>
    <row r="236" spans="5:7" ht="12.75" customHeight="1" x14ac:dyDescent="0.2">
      <c r="E236" s="6"/>
      <c r="F236" s="6"/>
      <c r="G236" s="6"/>
    </row>
    <row r="237" spans="5:7" ht="12.75" customHeight="1" x14ac:dyDescent="0.2">
      <c r="E237" s="6"/>
      <c r="F237" s="6"/>
      <c r="G237" s="6"/>
    </row>
    <row r="238" spans="5:7" ht="12.75" customHeight="1" x14ac:dyDescent="0.2">
      <c r="E238" s="6"/>
      <c r="F238" s="6"/>
      <c r="G238" s="6"/>
    </row>
    <row r="239" spans="5:7" ht="12.75" customHeight="1" x14ac:dyDescent="0.2">
      <c r="E239" s="6"/>
      <c r="F239" s="6"/>
      <c r="G239" s="6"/>
    </row>
    <row r="240" spans="5:7" ht="12.75" customHeight="1" x14ac:dyDescent="0.2">
      <c r="E240" s="6"/>
      <c r="F240" s="6"/>
      <c r="G240" s="6"/>
    </row>
    <row r="241" spans="5:7" ht="12.75" customHeight="1" x14ac:dyDescent="0.2">
      <c r="E241" s="6"/>
      <c r="F241" s="6"/>
      <c r="G241" s="6"/>
    </row>
    <row r="242" spans="5:7" ht="12.75" customHeight="1" x14ac:dyDescent="0.2">
      <c r="E242" s="6"/>
      <c r="F242" s="6"/>
      <c r="G242" s="6"/>
    </row>
    <row r="243" spans="5:7" ht="12.75" customHeight="1" x14ac:dyDescent="0.2">
      <c r="E243" s="6"/>
      <c r="F243" s="6"/>
      <c r="G243" s="6"/>
    </row>
    <row r="244" spans="5:7" ht="12.75" customHeight="1" x14ac:dyDescent="0.2">
      <c r="E244" s="6"/>
      <c r="F244" s="6"/>
      <c r="G244" s="6"/>
    </row>
    <row r="245" spans="5:7" ht="12.75" customHeight="1" x14ac:dyDescent="0.2">
      <c r="E245" s="6"/>
      <c r="F245" s="6"/>
      <c r="G245" s="6"/>
    </row>
    <row r="246" spans="5:7" ht="12.75" customHeight="1" x14ac:dyDescent="0.2">
      <c r="E246" s="6"/>
      <c r="F246" s="6"/>
      <c r="G246" s="6"/>
    </row>
    <row r="247" spans="5:7" ht="12.75" customHeight="1" x14ac:dyDescent="0.2">
      <c r="E247" s="6"/>
      <c r="F247" s="6"/>
      <c r="G247" s="6"/>
    </row>
    <row r="248" spans="5:7" ht="12.75" customHeight="1" x14ac:dyDescent="0.2">
      <c r="E248" s="6"/>
      <c r="F248" s="6"/>
      <c r="G248" s="6"/>
    </row>
    <row r="249" spans="5:7" ht="12.75" customHeight="1" x14ac:dyDescent="0.2">
      <c r="E249" s="6"/>
      <c r="F249" s="6"/>
      <c r="G249" s="6"/>
    </row>
    <row r="250" spans="5:7" ht="12.75" customHeight="1" x14ac:dyDescent="0.2">
      <c r="E250" s="6"/>
      <c r="F250" s="6"/>
      <c r="G250" s="6"/>
    </row>
    <row r="251" spans="5:7" ht="12.75" customHeight="1" x14ac:dyDescent="0.2">
      <c r="E251" s="6"/>
      <c r="F251" s="6"/>
      <c r="G251" s="6"/>
    </row>
    <row r="252" spans="5:7" ht="12.75" customHeight="1" x14ac:dyDescent="0.2">
      <c r="E252" s="6"/>
      <c r="F252" s="6"/>
      <c r="G252" s="6"/>
    </row>
    <row r="253" spans="5:7" ht="12.75" customHeight="1" x14ac:dyDescent="0.2">
      <c r="E253" s="6"/>
      <c r="F253" s="6"/>
      <c r="G253" s="6"/>
    </row>
    <row r="254" spans="5:7" x14ac:dyDescent="0.2">
      <c r="E254" s="6"/>
      <c r="F254" s="6"/>
      <c r="G254" s="6"/>
    </row>
    <row r="255" spans="5:7" x14ac:dyDescent="0.2">
      <c r="E255" s="6"/>
      <c r="F255" s="6"/>
      <c r="G255" s="6"/>
    </row>
    <row r="256" spans="5:7" x14ac:dyDescent="0.2">
      <c r="E256" s="6"/>
      <c r="F256" s="6"/>
      <c r="G256" s="6"/>
    </row>
    <row r="257" spans="5:7" x14ac:dyDescent="0.2">
      <c r="E257" s="6"/>
      <c r="F257" s="6"/>
      <c r="G257" s="6"/>
    </row>
    <row r="258" spans="5:7" x14ac:dyDescent="0.2">
      <c r="E258" s="6"/>
      <c r="F258" s="6"/>
      <c r="G258" s="6"/>
    </row>
    <row r="259" spans="5:7" x14ac:dyDescent="0.2">
      <c r="E259" s="6"/>
      <c r="F259" s="6"/>
      <c r="G259" s="6"/>
    </row>
    <row r="260" spans="5:7" x14ac:dyDescent="0.2">
      <c r="E260" s="6"/>
      <c r="F260" s="6"/>
      <c r="G260" s="6"/>
    </row>
    <row r="261" spans="5:7" x14ac:dyDescent="0.2">
      <c r="E261" s="6"/>
      <c r="F261" s="6"/>
      <c r="G261" s="6"/>
    </row>
    <row r="262" spans="5:7" x14ac:dyDescent="0.2">
      <c r="E262" s="6"/>
      <c r="F262" s="6"/>
      <c r="G262" s="6"/>
    </row>
    <row r="263" spans="5:7" x14ac:dyDescent="0.2">
      <c r="E263" s="6"/>
      <c r="F263" s="6"/>
      <c r="G263" s="6"/>
    </row>
    <row r="264" spans="5:7" x14ac:dyDescent="0.2">
      <c r="E264" s="6"/>
      <c r="F264" s="6"/>
      <c r="G264" s="6"/>
    </row>
    <row r="265" spans="5:7" x14ac:dyDescent="0.2">
      <c r="E265" s="6"/>
      <c r="F265" s="6"/>
      <c r="G265" s="6"/>
    </row>
    <row r="266" spans="5:7" x14ac:dyDescent="0.2">
      <c r="E266" s="6"/>
      <c r="F266" s="6"/>
      <c r="G266" s="6"/>
    </row>
    <row r="267" spans="5:7" x14ac:dyDescent="0.2">
      <c r="E267" s="6"/>
      <c r="F267" s="6"/>
      <c r="G267" s="6"/>
    </row>
    <row r="268" spans="5:7" x14ac:dyDescent="0.2">
      <c r="E268" s="6"/>
      <c r="F268" s="6"/>
      <c r="G268" s="6"/>
    </row>
    <row r="269" spans="5:7" x14ac:dyDescent="0.2">
      <c r="E269" s="6"/>
      <c r="F269" s="6"/>
      <c r="G269" s="6"/>
    </row>
    <row r="270" spans="5:7" x14ac:dyDescent="0.2">
      <c r="E270" s="6"/>
      <c r="F270" s="6"/>
      <c r="G270" s="6"/>
    </row>
    <row r="271" spans="5:7" x14ac:dyDescent="0.2">
      <c r="E271" s="6"/>
      <c r="F271" s="6"/>
      <c r="G271" s="6"/>
    </row>
    <row r="272" spans="5:7" x14ac:dyDescent="0.2">
      <c r="E272" s="83"/>
      <c r="F272" s="6"/>
      <c r="G272" s="6"/>
    </row>
    <row r="273" spans="5:7" x14ac:dyDescent="0.2">
      <c r="E273" s="83"/>
      <c r="F273" s="6"/>
      <c r="G273" s="6"/>
    </row>
    <row r="274" spans="5:7" x14ac:dyDescent="0.2">
      <c r="E274" s="83"/>
      <c r="F274" s="6"/>
      <c r="G274" s="6"/>
    </row>
    <row r="275" spans="5:7" x14ac:dyDescent="0.2">
      <c r="E275" s="83"/>
      <c r="F275" s="6"/>
      <c r="G275" s="6"/>
    </row>
    <row r="276" spans="5:7" x14ac:dyDescent="0.2">
      <c r="E276" s="83"/>
      <c r="F276" s="6"/>
      <c r="G276" s="6"/>
    </row>
    <row r="277" spans="5:7" x14ac:dyDescent="0.2">
      <c r="E277" s="83"/>
      <c r="F277" s="6"/>
      <c r="G277" s="6"/>
    </row>
    <row r="278" spans="5:7" x14ac:dyDescent="0.2">
      <c r="E278" s="83"/>
      <c r="F278" s="6"/>
      <c r="G278" s="6"/>
    </row>
    <row r="279" spans="5:7" x14ac:dyDescent="0.2">
      <c r="E279" s="83"/>
      <c r="F279" s="6"/>
      <c r="G279" s="6"/>
    </row>
    <row r="280" spans="5:7" x14ac:dyDescent="0.2">
      <c r="E280" s="83"/>
      <c r="F280" s="6"/>
      <c r="G280" s="6"/>
    </row>
    <row r="281" spans="5:7" x14ac:dyDescent="0.2">
      <c r="E281" s="83"/>
      <c r="F281" s="6"/>
      <c r="G281" s="6"/>
    </row>
    <row r="282" spans="5:7" x14ac:dyDescent="0.2">
      <c r="E282" s="83"/>
      <c r="F282" s="6"/>
      <c r="G282" s="6"/>
    </row>
    <row r="283" spans="5:7" x14ac:dyDescent="0.2">
      <c r="E283" s="83"/>
      <c r="F283" s="6"/>
      <c r="G283" s="6"/>
    </row>
    <row r="284" spans="5:7" x14ac:dyDescent="0.2">
      <c r="E284" s="83"/>
      <c r="F284" s="6"/>
      <c r="G284" s="6"/>
    </row>
    <row r="285" spans="5:7" x14ac:dyDescent="0.2">
      <c r="E285" s="83"/>
      <c r="F285" s="6"/>
      <c r="G285" s="6"/>
    </row>
    <row r="286" spans="5:7" x14ac:dyDescent="0.2">
      <c r="E286" s="83"/>
      <c r="F286" s="6"/>
      <c r="G286" s="6"/>
    </row>
    <row r="287" spans="5:7" x14ac:dyDescent="0.2">
      <c r="E287" s="83"/>
      <c r="F287" s="6"/>
      <c r="G287" s="6"/>
    </row>
    <row r="288" spans="5:7" x14ac:dyDescent="0.2">
      <c r="E288" s="83"/>
      <c r="F288" s="6"/>
      <c r="G288" s="6"/>
    </row>
    <row r="289" spans="5:19" x14ac:dyDescent="0.2">
      <c r="E289" s="83"/>
      <c r="F289" s="6"/>
      <c r="G289" s="6"/>
    </row>
    <row r="290" spans="5:19" x14ac:dyDescent="0.2">
      <c r="E290" s="83"/>
      <c r="F290" s="6"/>
      <c r="G290" s="6"/>
    </row>
    <row r="291" spans="5:19" x14ac:dyDescent="0.2">
      <c r="E291" s="83"/>
      <c r="F291" s="6"/>
      <c r="G291" s="6"/>
    </row>
    <row r="292" spans="5:19" x14ac:dyDescent="0.2">
      <c r="E292" s="83"/>
      <c r="F292" s="6"/>
      <c r="G292" s="6"/>
    </row>
    <row r="293" spans="5:19" x14ac:dyDescent="0.2">
      <c r="E293" s="83"/>
      <c r="F293" s="6"/>
      <c r="G293" s="6"/>
    </row>
    <row r="294" spans="5:19" x14ac:dyDescent="0.2">
      <c r="E294" s="83"/>
      <c r="F294" s="6"/>
      <c r="G294" s="6"/>
    </row>
    <row r="295" spans="5:19" x14ac:dyDescent="0.2">
      <c r="E295" s="83"/>
      <c r="F295" s="6"/>
      <c r="G295" s="6"/>
    </row>
    <row r="296" spans="5:19" x14ac:dyDescent="0.2">
      <c r="E296" s="83"/>
      <c r="F296" s="6"/>
      <c r="G296" s="6"/>
    </row>
    <row r="297" spans="5:19" x14ac:dyDescent="0.2">
      <c r="E297" s="83"/>
      <c r="F297" s="6"/>
      <c r="G297" s="6"/>
    </row>
    <row r="298" spans="5:19" x14ac:dyDescent="0.2">
      <c r="E298" s="83"/>
      <c r="F298" s="6"/>
      <c r="G298" s="6"/>
    </row>
    <row r="299" spans="5:19" x14ac:dyDescent="0.2">
      <c r="E299" s="83"/>
      <c r="F299" s="6"/>
      <c r="G299" s="6"/>
      <c r="S299" s="6" t="s">
        <v>446</v>
      </c>
    </row>
    <row r="300" spans="5:19" x14ac:dyDescent="0.2">
      <c r="E300" s="83"/>
      <c r="F300" s="6"/>
      <c r="G300" s="6"/>
      <c r="I300" s="6" t="str">
        <f>'Revenue - Base year'!E12</f>
        <v>Aged Services</v>
      </c>
      <c r="S300" s="6" t="s">
        <v>363</v>
      </c>
    </row>
    <row r="301" spans="5:19" x14ac:dyDescent="0.2">
      <c r="E301" s="83"/>
      <c r="F301" s="6"/>
      <c r="G301" s="6"/>
      <c r="I301" s="6" t="str">
        <f>'Revenue - Base year'!E13</f>
        <v>Active Communities</v>
      </c>
      <c r="S301" s="6" t="s">
        <v>108</v>
      </c>
    </row>
    <row r="302" spans="5:19" x14ac:dyDescent="0.2">
      <c r="E302" s="83"/>
      <c r="F302" s="6"/>
      <c r="G302" s="6"/>
      <c r="I302" s="6" t="str">
        <f>'Revenue - Base year'!E14</f>
        <v>Community Events</v>
      </c>
      <c r="S302" s="6" t="s">
        <v>109</v>
      </c>
    </row>
    <row r="303" spans="5:19" x14ac:dyDescent="0.2">
      <c r="E303" s="83"/>
      <c r="F303" s="6"/>
      <c r="G303" s="6"/>
      <c r="I303" s="6" t="str">
        <f>'Revenue - Base year'!E15</f>
        <v>Maternal and Child Health (MCH)</v>
      </c>
      <c r="S303" s="6" t="s">
        <v>443</v>
      </c>
    </row>
    <row r="304" spans="5:19" x14ac:dyDescent="0.2">
      <c r="E304" s="83"/>
      <c r="F304" s="6"/>
      <c r="G304" s="6"/>
      <c r="I304" s="6" t="str">
        <f>'Revenue - Base year'!E16</f>
        <v>Kindergarten</v>
      </c>
      <c r="S304" s="6" t="s">
        <v>110</v>
      </c>
    </row>
    <row r="305" spans="5:19" x14ac:dyDescent="0.2">
      <c r="E305" s="83"/>
      <c r="F305" s="6"/>
      <c r="G305" s="6"/>
      <c r="I305" s="6" t="str">
        <f>'Revenue - Base year'!E17</f>
        <v>Environmental Health</v>
      </c>
      <c r="S305" s="6" t="s">
        <v>111</v>
      </c>
    </row>
    <row r="306" spans="5:19" x14ac:dyDescent="0.2">
      <c r="E306" s="83"/>
      <c r="F306" s="6"/>
      <c r="G306" s="6"/>
      <c r="I306" s="6" t="str">
        <f>'Revenue - Base year'!E18</f>
        <v>Asset Management and Appearance of Public Places</v>
      </c>
      <c r="S306" s="6" t="s">
        <v>112</v>
      </c>
    </row>
    <row r="307" spans="5:19" x14ac:dyDescent="0.2">
      <c r="E307" s="83"/>
      <c r="F307" s="6"/>
      <c r="G307" s="6"/>
      <c r="I307" s="6" t="str">
        <f>'Revenue - Base year'!E19</f>
        <v>Local Laws, Safety and Amenity</v>
      </c>
      <c r="S307" s="6" t="s">
        <v>88</v>
      </c>
    </row>
    <row r="308" spans="5:19" x14ac:dyDescent="0.2">
      <c r="E308" s="83"/>
      <c r="F308" s="6"/>
      <c r="G308" s="6"/>
      <c r="I308" s="6" t="str">
        <f>'Revenue - Base year'!E20</f>
        <v>Street Lighting</v>
      </c>
    </row>
    <row r="309" spans="5:19" x14ac:dyDescent="0.2">
      <c r="E309" s="83"/>
      <c r="F309" s="6"/>
      <c r="G309" s="6"/>
      <c r="I309" s="6" t="str">
        <f>'Revenue - Base year'!E21</f>
        <v>Powerline Safety</v>
      </c>
    </row>
    <row r="310" spans="5:19" x14ac:dyDescent="0.2">
      <c r="E310" s="83"/>
      <c r="F310" s="6"/>
      <c r="G310" s="6"/>
      <c r="I310" s="6" t="str">
        <f>'Revenue - Base year'!E22</f>
        <v>Library</v>
      </c>
    </row>
    <row r="311" spans="5:19" x14ac:dyDescent="0.2">
      <c r="E311" s="83"/>
      <c r="F311" s="6"/>
      <c r="G311" s="6"/>
      <c r="I311" s="6" t="str">
        <f>'Revenue - Base year'!E23</f>
        <v>Recreation, Arts and Culture</v>
      </c>
    </row>
    <row r="312" spans="5:19" x14ac:dyDescent="0.2">
      <c r="E312" s="83"/>
      <c r="F312" s="6"/>
      <c r="G312" s="6"/>
      <c r="I312" s="6" t="str">
        <f>'Revenue - Base year'!E24</f>
        <v>Environmental Sustainability</v>
      </c>
    </row>
    <row r="313" spans="5:19" x14ac:dyDescent="0.2">
      <c r="E313" s="83"/>
      <c r="F313" s="6"/>
      <c r="G313" s="6"/>
      <c r="I313" s="6" t="str">
        <f>'Revenue - Base year'!E25</f>
        <v>Coastal Protection</v>
      </c>
    </row>
    <row r="314" spans="5:19" x14ac:dyDescent="0.2">
      <c r="E314" s="83"/>
      <c r="F314" s="6"/>
      <c r="G314" s="6"/>
      <c r="I314" s="6" t="str">
        <f>'Revenue - Base year'!E26</f>
        <v>Waste Management and Recycling</v>
      </c>
    </row>
    <row r="315" spans="5:19" x14ac:dyDescent="0.2">
      <c r="E315" s="83"/>
      <c r="F315" s="6"/>
      <c r="G315" s="6"/>
      <c r="I315" s="6" t="str">
        <f>'Revenue - Base year'!E27</f>
        <v>Tourist Parks and Boat Ramp Services</v>
      </c>
    </row>
    <row r="316" spans="5:19" x14ac:dyDescent="0.2">
      <c r="E316" s="83"/>
      <c r="F316" s="6"/>
      <c r="G316" s="6"/>
      <c r="I316" s="6" t="str">
        <f>'Revenue - Base year'!E28</f>
        <v>Visitor Information Centre (VIC)</v>
      </c>
    </row>
    <row r="317" spans="5:19" x14ac:dyDescent="0.2">
      <c r="E317" s="83"/>
      <c r="F317" s="6"/>
      <c r="G317" s="6"/>
      <c r="I317" s="6" t="str">
        <f>'Revenue - Base year'!E29</f>
        <v>Tourism and Economic Development</v>
      </c>
    </row>
    <row r="318" spans="5:19" x14ac:dyDescent="0.2">
      <c r="E318" s="83"/>
      <c r="F318" s="6"/>
      <c r="G318" s="6"/>
      <c r="I318" s="6" t="str">
        <f>'Revenue - Base year'!E30</f>
        <v>Design and Project Management</v>
      </c>
    </row>
    <row r="319" spans="5:19" x14ac:dyDescent="0.2">
      <c r="E319" s="83"/>
      <c r="F319" s="6"/>
      <c r="G319" s="6"/>
      <c r="I319" s="6" t="str">
        <f>'Revenue - Base year'!E31</f>
        <v>Land Use Planning</v>
      </c>
    </row>
    <row r="320" spans="5:19" x14ac:dyDescent="0.2">
      <c r="E320" s="83"/>
      <c r="F320" s="6"/>
      <c r="G320" s="6"/>
      <c r="I320" s="6" t="str">
        <f>'Revenue - Base year'!E32</f>
        <v>Heritage Conservation Advice</v>
      </c>
    </row>
    <row r="321" spans="5:9" x14ac:dyDescent="0.2">
      <c r="E321" s="83"/>
      <c r="F321" s="6"/>
      <c r="G321" s="6"/>
      <c r="I321" s="6" t="str">
        <f>'Revenue - Base year'!E33</f>
        <v>Building Control</v>
      </c>
    </row>
    <row r="322" spans="5:9" x14ac:dyDescent="0.2">
      <c r="E322" s="83"/>
      <c r="F322" s="6"/>
      <c r="G322" s="6"/>
      <c r="I322" s="6" t="str">
        <f>'Revenue - Base year'!E34</f>
        <v>Council Governance</v>
      </c>
    </row>
    <row r="323" spans="5:9" x14ac:dyDescent="0.2">
      <c r="E323" s="83"/>
      <c r="F323" s="6"/>
      <c r="G323" s="6"/>
      <c r="I323" s="6" t="str">
        <f>'Revenue - Base year'!E35</f>
        <v>Organisation Performance and Compliance</v>
      </c>
    </row>
    <row r="324" spans="5:9" x14ac:dyDescent="0.2">
      <c r="E324" s="83"/>
      <c r="F324" s="6"/>
      <c r="G324" s="6"/>
      <c r="I324" s="6" t="str">
        <f>'Revenue - Base year'!E36</f>
        <v>Community Engagement and Customer Service</v>
      </c>
    </row>
    <row r="325" spans="5:9" x14ac:dyDescent="0.2">
      <c r="E325" s="83"/>
      <c r="F325" s="6"/>
      <c r="G325" s="6"/>
      <c r="I325" s="6" t="str">
        <f>'Revenue - Base year'!E37</f>
        <v>Financial and Risk Management</v>
      </c>
    </row>
    <row r="326" spans="5:9" x14ac:dyDescent="0.2">
      <c r="E326" s="83"/>
      <c r="F326" s="6"/>
      <c r="G326" s="6"/>
      <c r="I326" s="6" t="str">
        <f>'Revenue - Base year'!E38</f>
        <v/>
      </c>
    </row>
    <row r="327" spans="5:9" x14ac:dyDescent="0.2">
      <c r="E327" s="83"/>
      <c r="F327" s="6"/>
      <c r="G327" s="6"/>
      <c r="I327" s="6" t="str">
        <f>'Revenue - Base year'!E39</f>
        <v>Capital Works Program</v>
      </c>
    </row>
    <row r="328" spans="5:9" x14ac:dyDescent="0.2">
      <c r="E328" s="83"/>
      <c r="F328" s="6"/>
      <c r="G328" s="6"/>
      <c r="I328" s="6" t="str">
        <f>'Revenue - Base year'!E40</f>
        <v/>
      </c>
    </row>
    <row r="329" spans="5:9" x14ac:dyDescent="0.2">
      <c r="E329" s="83"/>
      <c r="F329" s="6"/>
      <c r="G329" s="6"/>
      <c r="I329" s="6" t="str">
        <f>'Revenue - Base year'!E41</f>
        <v/>
      </c>
    </row>
    <row r="330" spans="5:9" x14ac:dyDescent="0.2">
      <c r="E330" s="83"/>
      <c r="F330" s="6"/>
      <c r="G330" s="6"/>
      <c r="I330" s="6" t="str">
        <f>'Revenue - Base year'!E42</f>
        <v/>
      </c>
    </row>
    <row r="331" spans="5:9" x14ac:dyDescent="0.2">
      <c r="E331" s="83"/>
      <c r="F331" s="6"/>
      <c r="G331" s="6"/>
      <c r="I331" s="6" t="str">
        <f>'Revenue - Base year'!E43</f>
        <v/>
      </c>
    </row>
    <row r="332" spans="5:9" x14ac:dyDescent="0.2">
      <c r="E332" s="83"/>
      <c r="F332" s="6"/>
      <c r="G332" s="6"/>
      <c r="I332" s="6" t="str">
        <f>'Revenue - Base year'!E44</f>
        <v/>
      </c>
    </row>
    <row r="333" spans="5:9" x14ac:dyDescent="0.2">
      <c r="E333" s="83"/>
      <c r="F333" s="6"/>
      <c r="G333" s="6"/>
      <c r="I333" s="6" t="str">
        <f>'Revenue - Base year'!E45</f>
        <v/>
      </c>
    </row>
    <row r="334" spans="5:9" x14ac:dyDescent="0.2">
      <c r="E334" s="83"/>
      <c r="F334" s="6"/>
      <c r="G334" s="6"/>
      <c r="I334" s="6" t="str">
        <f>'Revenue - Base year'!E46</f>
        <v/>
      </c>
    </row>
    <row r="335" spans="5:9" x14ac:dyDescent="0.2">
      <c r="E335" s="83"/>
      <c r="F335" s="6"/>
      <c r="G335" s="6"/>
      <c r="I335" s="6" t="str">
        <f>'Revenue - Base year'!E47</f>
        <v/>
      </c>
    </row>
    <row r="336" spans="5:9" x14ac:dyDescent="0.2">
      <c r="E336" s="83"/>
      <c r="F336" s="6"/>
      <c r="G336" s="6"/>
      <c r="I336" s="6" t="str">
        <f>'Revenue - Base year'!E48</f>
        <v/>
      </c>
    </row>
    <row r="337" spans="5:9" x14ac:dyDescent="0.2">
      <c r="E337" s="83"/>
      <c r="F337" s="6"/>
      <c r="G337" s="6"/>
      <c r="I337" s="6" t="str">
        <f>'Revenue - Base year'!E49</f>
        <v/>
      </c>
    </row>
    <row r="338" spans="5:9" x14ac:dyDescent="0.2">
      <c r="E338" s="83"/>
      <c r="F338" s="6"/>
      <c r="G338" s="6"/>
      <c r="I338" s="6" t="str">
        <f>'Revenue - Base year'!E50</f>
        <v/>
      </c>
    </row>
    <row r="339" spans="5:9" x14ac:dyDescent="0.2">
      <c r="E339" s="83"/>
      <c r="F339" s="6"/>
      <c r="G339" s="6"/>
      <c r="I339" s="6" t="str">
        <f>'Revenue - Base year'!E51</f>
        <v/>
      </c>
    </row>
    <row r="340" spans="5:9" x14ac:dyDescent="0.2">
      <c r="E340" s="83"/>
      <c r="F340" s="6"/>
      <c r="G340" s="6"/>
      <c r="I340" s="6" t="str">
        <f>'Revenue - Base year'!E52</f>
        <v/>
      </c>
    </row>
    <row r="341" spans="5:9" x14ac:dyDescent="0.2">
      <c r="E341" s="83"/>
      <c r="F341" s="6"/>
      <c r="G341" s="6"/>
      <c r="I341" s="6" t="str">
        <f>'Revenue - Base year'!E53</f>
        <v/>
      </c>
    </row>
    <row r="342" spans="5:9" x14ac:dyDescent="0.2">
      <c r="E342" s="83"/>
      <c r="F342" s="6"/>
      <c r="G342" s="6"/>
      <c r="I342" s="6" t="str">
        <f>'Revenue - Base year'!E54</f>
        <v/>
      </c>
    </row>
    <row r="343" spans="5:9" x14ac:dyDescent="0.2">
      <c r="E343" s="83"/>
      <c r="F343" s="6"/>
      <c r="G343" s="6"/>
      <c r="I343" s="6" t="str">
        <f>'Revenue - Base year'!E55</f>
        <v/>
      </c>
    </row>
    <row r="344" spans="5:9" x14ac:dyDescent="0.2">
      <c r="E344" s="83"/>
      <c r="F344" s="6"/>
      <c r="G344" s="6"/>
      <c r="I344" s="6" t="str">
        <f>'Revenue - Base year'!E56</f>
        <v/>
      </c>
    </row>
    <row r="345" spans="5:9" x14ac:dyDescent="0.2">
      <c r="E345" s="83"/>
      <c r="F345" s="6"/>
      <c r="G345" s="6"/>
      <c r="I345" s="6" t="str">
        <f>'Revenue - Base year'!E57</f>
        <v/>
      </c>
    </row>
    <row r="346" spans="5:9" x14ac:dyDescent="0.2">
      <c r="E346" s="83"/>
      <c r="F346" s="6"/>
      <c r="G346" s="6"/>
      <c r="I346" s="6" t="str">
        <f>'Revenue - Base year'!E58</f>
        <v/>
      </c>
    </row>
    <row r="347" spans="5:9" x14ac:dyDescent="0.2">
      <c r="E347" s="83"/>
      <c r="F347" s="6"/>
      <c r="G347" s="6"/>
      <c r="I347" s="6" t="str">
        <f>'Revenue - Base year'!E59</f>
        <v/>
      </c>
    </row>
    <row r="348" spans="5:9" x14ac:dyDescent="0.2">
      <c r="E348" s="83"/>
      <c r="F348" s="6"/>
      <c r="G348" s="6"/>
      <c r="I348" s="6" t="str">
        <f>'Revenue - Base year'!E60</f>
        <v/>
      </c>
    </row>
    <row r="349" spans="5:9" x14ac:dyDescent="0.2">
      <c r="I349" s="6" t="str">
        <f>'Revenue - Base year'!E61</f>
        <v/>
      </c>
    </row>
    <row r="350" spans="5:9" x14ac:dyDescent="0.2">
      <c r="I350" s="6" t="str">
        <f>'Revenue - Base year'!E62</f>
        <v/>
      </c>
    </row>
    <row r="351" spans="5:9" x14ac:dyDescent="0.2">
      <c r="I351" s="6" t="str">
        <f>'Revenue - Base year'!E63</f>
        <v/>
      </c>
    </row>
    <row r="352" spans="5:9" x14ac:dyDescent="0.2">
      <c r="I352" s="6" t="str">
        <f>'Revenue - Base year'!E64</f>
        <v/>
      </c>
    </row>
    <row r="353" spans="5:9" x14ac:dyDescent="0.2">
      <c r="I353" s="6" t="str">
        <f>'Revenue - Base year'!E65</f>
        <v/>
      </c>
    </row>
    <row r="354" spans="5:9" x14ac:dyDescent="0.2">
      <c r="I354" s="6" t="str">
        <f>'Revenue - Base year'!E66</f>
        <v/>
      </c>
    </row>
    <row r="355" spans="5:9" x14ac:dyDescent="0.2">
      <c r="I355" s="6" t="str">
        <f>'Revenue - Base year'!E67</f>
        <v/>
      </c>
    </row>
    <row r="356" spans="5:9" x14ac:dyDescent="0.2">
      <c r="I356" s="6" t="str">
        <f>'Revenue - Base year'!E68</f>
        <v/>
      </c>
    </row>
    <row r="357" spans="5:9" x14ac:dyDescent="0.2">
      <c r="I357" s="6" t="str">
        <f>'Revenue - Base year'!E69</f>
        <v/>
      </c>
    </row>
    <row r="358" spans="5:9" x14ac:dyDescent="0.2">
      <c r="I358" s="6" t="str">
        <f>'Revenue - Base year'!E70</f>
        <v/>
      </c>
    </row>
    <row r="359" spans="5:9" x14ac:dyDescent="0.2">
      <c r="E359" s="6"/>
      <c r="F359" s="6"/>
      <c r="G359" s="6"/>
      <c r="I359" s="6" t="str">
        <f>'Revenue - Base year'!E71</f>
        <v/>
      </c>
    </row>
    <row r="360" spans="5:9" x14ac:dyDescent="0.2">
      <c r="E360" s="6"/>
      <c r="F360" s="6"/>
      <c r="G360" s="6"/>
      <c r="I360" s="6" t="str">
        <f>'Revenue - Base year'!E72</f>
        <v/>
      </c>
    </row>
    <row r="361" spans="5:9" x14ac:dyDescent="0.2">
      <c r="E361" s="6"/>
      <c r="F361" s="6"/>
      <c r="G361" s="6"/>
      <c r="I361" s="6" t="str">
        <f>'Revenue - Base year'!E73</f>
        <v/>
      </c>
    </row>
    <row r="362" spans="5:9" x14ac:dyDescent="0.2">
      <c r="E362" s="6"/>
      <c r="F362" s="6"/>
      <c r="G362" s="6"/>
      <c r="I362" s="6" t="str">
        <f>'Revenue - Base year'!E74</f>
        <v/>
      </c>
    </row>
    <row r="363" spans="5:9" x14ac:dyDescent="0.2">
      <c r="E363" s="6"/>
      <c r="F363" s="6"/>
      <c r="G363" s="6"/>
      <c r="I363" s="6" t="str">
        <f>'Revenue - Base year'!E75</f>
        <v/>
      </c>
    </row>
    <row r="364" spans="5:9" x14ac:dyDescent="0.2">
      <c r="E364" s="6"/>
      <c r="F364" s="6"/>
      <c r="G364" s="6"/>
      <c r="I364" s="6" t="str">
        <f>'Revenue - Base year'!E76</f>
        <v/>
      </c>
    </row>
    <row r="365" spans="5:9" x14ac:dyDescent="0.2">
      <c r="E365" s="6"/>
      <c r="F365" s="6"/>
      <c r="G365" s="6"/>
      <c r="I365" s="6" t="str">
        <f>'Revenue - Base year'!E77</f>
        <v/>
      </c>
    </row>
    <row r="366" spans="5:9" x14ac:dyDescent="0.2">
      <c r="E366" s="6"/>
      <c r="F366" s="6"/>
      <c r="G366" s="6"/>
      <c r="I366" s="6" t="str">
        <f>'Revenue - Base year'!E78</f>
        <v/>
      </c>
    </row>
    <row r="367" spans="5:9" x14ac:dyDescent="0.2">
      <c r="E367" s="6"/>
      <c r="F367" s="6"/>
      <c r="G367" s="6"/>
      <c r="I367" s="6" t="str">
        <f>'Revenue - Base year'!E79</f>
        <v/>
      </c>
    </row>
    <row r="368" spans="5:9" x14ac:dyDescent="0.2">
      <c r="E368" s="6"/>
      <c r="F368" s="6"/>
      <c r="G368" s="6"/>
      <c r="I368" s="6" t="str">
        <f>'Revenue - Base year'!E80</f>
        <v/>
      </c>
    </row>
    <row r="369" spans="5:9" x14ac:dyDescent="0.2">
      <c r="E369" s="6"/>
      <c r="F369" s="6"/>
      <c r="G369" s="6"/>
      <c r="I369" s="6" t="str">
        <f>'Revenue - Base year'!E81</f>
        <v/>
      </c>
    </row>
    <row r="370" spans="5:9" x14ac:dyDescent="0.2">
      <c r="E370" s="6"/>
      <c r="F370" s="6"/>
      <c r="G370" s="6"/>
      <c r="I370" s="6" t="str">
        <f>'Revenue - Base year'!E82</f>
        <v/>
      </c>
    </row>
    <row r="371" spans="5:9" x14ac:dyDescent="0.2">
      <c r="E371" s="6"/>
      <c r="F371" s="6"/>
      <c r="G371" s="6"/>
      <c r="I371" s="6" t="str">
        <f>'Revenue - Base year'!E83</f>
        <v/>
      </c>
    </row>
    <row r="372" spans="5:9" x14ac:dyDescent="0.2">
      <c r="E372" s="6"/>
      <c r="F372" s="6"/>
      <c r="G372" s="6"/>
      <c r="I372" s="6" t="str">
        <f>'Revenue - Base year'!E84</f>
        <v/>
      </c>
    </row>
    <row r="373" spans="5:9" x14ac:dyDescent="0.2">
      <c r="E373" s="6"/>
      <c r="F373" s="6"/>
      <c r="G373" s="6"/>
      <c r="I373" s="6" t="str">
        <f>'Revenue - Base year'!E85</f>
        <v/>
      </c>
    </row>
    <row r="374" spans="5:9" x14ac:dyDescent="0.2">
      <c r="E374" s="6"/>
      <c r="F374" s="6"/>
      <c r="G374" s="6"/>
      <c r="I374" s="6" t="str">
        <f>'Revenue - Base year'!E86</f>
        <v/>
      </c>
    </row>
    <row r="375" spans="5:9" x14ac:dyDescent="0.2">
      <c r="E375" s="6"/>
      <c r="F375" s="6"/>
      <c r="G375" s="6"/>
      <c r="I375" s="6" t="str">
        <f>'Revenue - Base year'!E87</f>
        <v/>
      </c>
    </row>
    <row r="376" spans="5:9" x14ac:dyDescent="0.2">
      <c r="E376" s="6"/>
      <c r="F376" s="6"/>
      <c r="G376" s="6"/>
      <c r="I376" s="6" t="str">
        <f>'Revenue - Base year'!E88</f>
        <v/>
      </c>
    </row>
    <row r="377" spans="5:9" x14ac:dyDescent="0.2">
      <c r="E377" s="6"/>
      <c r="F377" s="6"/>
      <c r="G377" s="6"/>
      <c r="I377" s="6" t="str">
        <f>'Revenue - Base year'!E89</f>
        <v/>
      </c>
    </row>
    <row r="378" spans="5:9" x14ac:dyDescent="0.2">
      <c r="E378" s="6"/>
      <c r="F378" s="6"/>
      <c r="G378" s="6"/>
      <c r="I378" s="6" t="str">
        <f>'Revenue - Base year'!E90</f>
        <v/>
      </c>
    </row>
    <row r="379" spans="5:9" x14ac:dyDescent="0.2">
      <c r="E379" s="6"/>
      <c r="F379" s="6"/>
      <c r="G379" s="6"/>
      <c r="I379" s="6" t="str">
        <f>'Revenue - Base year'!E91</f>
        <v/>
      </c>
    </row>
    <row r="380" spans="5:9" x14ac:dyDescent="0.2">
      <c r="E380" s="6"/>
      <c r="F380" s="6"/>
      <c r="G380" s="6"/>
      <c r="I380" s="6" t="str">
        <f>'Revenue - Base year'!E92</f>
        <v/>
      </c>
    </row>
    <row r="381" spans="5:9" x14ac:dyDescent="0.2">
      <c r="E381" s="6"/>
      <c r="F381" s="6"/>
      <c r="G381" s="6"/>
      <c r="I381" s="6" t="str">
        <f>'Revenue - Base year'!E93</f>
        <v/>
      </c>
    </row>
    <row r="382" spans="5:9" x14ac:dyDescent="0.2">
      <c r="E382" s="6"/>
      <c r="F382" s="6"/>
      <c r="G382" s="6"/>
      <c r="I382" s="6" t="str">
        <f>'Revenue - Base year'!E94</f>
        <v/>
      </c>
    </row>
    <row r="383" spans="5:9" x14ac:dyDescent="0.2">
      <c r="E383" s="6"/>
      <c r="F383" s="6"/>
      <c r="G383" s="6"/>
      <c r="I383" s="6" t="str">
        <f>'Revenue - Base year'!E95</f>
        <v/>
      </c>
    </row>
    <row r="384" spans="5:9" x14ac:dyDescent="0.2">
      <c r="E384" s="6"/>
      <c r="F384" s="6"/>
      <c r="G384" s="6"/>
      <c r="I384" s="6" t="str">
        <f>'Revenue - Base year'!E96</f>
        <v/>
      </c>
    </row>
    <row r="385" spans="5:9" x14ac:dyDescent="0.2">
      <c r="E385" s="6"/>
      <c r="F385" s="6"/>
      <c r="G385" s="6"/>
      <c r="I385" s="6" t="str">
        <f>'Revenue - Base year'!E97</f>
        <v/>
      </c>
    </row>
    <row r="386" spans="5:9" x14ac:dyDescent="0.2">
      <c r="E386" s="6"/>
      <c r="F386" s="6"/>
      <c r="G386" s="6"/>
      <c r="I386" s="6" t="str">
        <f>'Revenue - Base year'!E98</f>
        <v/>
      </c>
    </row>
    <row r="387" spans="5:9" x14ac:dyDescent="0.2">
      <c r="E387" s="6"/>
      <c r="F387" s="6"/>
      <c r="G387" s="6"/>
      <c r="I387" s="6" t="str">
        <f>'Revenue - Base year'!E99</f>
        <v/>
      </c>
    </row>
    <row r="388" spans="5:9" x14ac:dyDescent="0.2">
      <c r="E388" s="6"/>
      <c r="F388" s="6"/>
      <c r="G388" s="6"/>
      <c r="I388" s="6" t="str">
        <f>'Revenue - Base year'!E100</f>
        <v/>
      </c>
    </row>
    <row r="389" spans="5:9" x14ac:dyDescent="0.2">
      <c r="E389" s="6"/>
      <c r="F389" s="6"/>
      <c r="G389" s="6"/>
      <c r="I389" s="6" t="str">
        <f>'Revenue - Base year'!E101</f>
        <v/>
      </c>
    </row>
    <row r="390" spans="5:9" x14ac:dyDescent="0.2">
      <c r="E390" s="6"/>
      <c r="F390" s="6"/>
      <c r="G390" s="6"/>
      <c r="I390" s="6" t="str">
        <f>'Revenue - Base year'!E102</f>
        <v/>
      </c>
    </row>
    <row r="391" spans="5:9" x14ac:dyDescent="0.2">
      <c r="E391" s="6"/>
      <c r="F391" s="6"/>
      <c r="G391" s="6"/>
      <c r="I391" s="6" t="str">
        <f>'Revenue - Base year'!E103</f>
        <v/>
      </c>
    </row>
    <row r="392" spans="5:9" x14ac:dyDescent="0.2">
      <c r="E392" s="6"/>
      <c r="F392" s="6"/>
      <c r="G392" s="6"/>
      <c r="I392" s="6" t="str">
        <f>'Revenue - Base year'!E104</f>
        <v/>
      </c>
    </row>
    <row r="393" spans="5:9" x14ac:dyDescent="0.2">
      <c r="E393" s="6"/>
      <c r="F393" s="6"/>
      <c r="G393" s="6"/>
      <c r="I393" s="6" t="str">
        <f>'Revenue - Base year'!E105</f>
        <v/>
      </c>
    </row>
    <row r="394" spans="5:9" x14ac:dyDescent="0.2">
      <c r="E394" s="6"/>
      <c r="F394" s="6"/>
      <c r="G394" s="6"/>
      <c r="I394" s="6" t="str">
        <f>'Revenue - Base year'!E106</f>
        <v/>
      </c>
    </row>
    <row r="395" spans="5:9" x14ac:dyDescent="0.2">
      <c r="E395" s="6"/>
      <c r="F395" s="6"/>
      <c r="G395" s="6"/>
      <c r="I395" s="6" t="str">
        <f>'Revenue - Base year'!E107</f>
        <v/>
      </c>
    </row>
    <row r="396" spans="5:9" x14ac:dyDescent="0.2">
      <c r="E396" s="6"/>
      <c r="F396" s="6"/>
      <c r="G396" s="6"/>
      <c r="I396" s="6" t="str">
        <f>'Revenue - Base year'!E108</f>
        <v/>
      </c>
    </row>
    <row r="397" spans="5:9" x14ac:dyDescent="0.2">
      <c r="E397" s="6"/>
      <c r="F397" s="6"/>
      <c r="G397" s="6"/>
      <c r="I397" s="6" t="str">
        <f>'Revenue - Base year'!E109</f>
        <v/>
      </c>
    </row>
    <row r="398" spans="5:9" x14ac:dyDescent="0.2">
      <c r="E398" s="6"/>
      <c r="F398" s="6"/>
      <c r="G398" s="6"/>
      <c r="I398" s="6" t="str">
        <f>'Revenue - Base year'!E110</f>
        <v/>
      </c>
    </row>
    <row r="399" spans="5:9" x14ac:dyDescent="0.2">
      <c r="E399" s="6"/>
      <c r="F399" s="6"/>
      <c r="G399" s="6"/>
      <c r="I399" s="6" t="str">
        <f>'Revenue - Base year'!E111</f>
        <v/>
      </c>
    </row>
    <row r="400" spans="5:9" x14ac:dyDescent="0.2">
      <c r="E400" s="6"/>
      <c r="F400" s="6"/>
      <c r="G400" s="6"/>
      <c r="I400" s="6" t="str">
        <f>'Revenue - Base year'!E112</f>
        <v/>
      </c>
    </row>
    <row r="401" spans="5:9" x14ac:dyDescent="0.2">
      <c r="E401" s="6"/>
      <c r="F401" s="6"/>
      <c r="G401" s="6"/>
      <c r="I401" s="6" t="str">
        <f>'Revenue - Base year'!E113</f>
        <v/>
      </c>
    </row>
    <row r="402" spans="5:9" x14ac:dyDescent="0.2">
      <c r="E402" s="6"/>
      <c r="F402" s="6"/>
      <c r="G402" s="6"/>
      <c r="I402" s="6" t="str">
        <f>'Revenue - Base year'!E114</f>
        <v/>
      </c>
    </row>
    <row r="403" spans="5:9" x14ac:dyDescent="0.2">
      <c r="E403" s="6"/>
      <c r="F403" s="6"/>
      <c r="G403" s="6"/>
      <c r="I403" s="6" t="str">
        <f>'Revenue - Base year'!E115</f>
        <v/>
      </c>
    </row>
    <row r="404" spans="5:9" x14ac:dyDescent="0.2">
      <c r="E404" s="6"/>
      <c r="F404" s="6"/>
      <c r="G404" s="6"/>
      <c r="I404" s="6" t="str">
        <f>'Revenue - Base year'!E116</f>
        <v/>
      </c>
    </row>
    <row r="405" spans="5:9" x14ac:dyDescent="0.2">
      <c r="E405" s="6"/>
      <c r="F405" s="6"/>
      <c r="G405" s="6"/>
      <c r="I405" s="6" t="str">
        <f>'Revenue - Base year'!E117</f>
        <v/>
      </c>
    </row>
    <row r="406" spans="5:9" x14ac:dyDescent="0.2">
      <c r="E406" s="6"/>
      <c r="F406" s="6"/>
      <c r="G406" s="6"/>
      <c r="I406" s="6" t="str">
        <f>'Revenue - Base year'!E118</f>
        <v/>
      </c>
    </row>
    <row r="407" spans="5:9" x14ac:dyDescent="0.2">
      <c r="E407" s="6"/>
      <c r="F407" s="6"/>
      <c r="G407" s="6"/>
      <c r="I407" s="6" t="str">
        <f>'Revenue - Base year'!E119</f>
        <v/>
      </c>
    </row>
    <row r="408" spans="5:9" x14ac:dyDescent="0.2">
      <c r="E408" s="6"/>
      <c r="F408" s="6"/>
      <c r="G408" s="6"/>
      <c r="I408" s="6" t="str">
        <f>'Revenue - Base year'!E120</f>
        <v/>
      </c>
    </row>
    <row r="409" spans="5:9" x14ac:dyDescent="0.2">
      <c r="E409" s="6"/>
      <c r="F409" s="6"/>
      <c r="G409" s="6"/>
      <c r="I409" s="6" t="str">
        <f>'Revenue - Base year'!E121</f>
        <v/>
      </c>
    </row>
    <row r="410" spans="5:9" x14ac:dyDescent="0.2">
      <c r="E410" s="6"/>
      <c r="F410" s="6"/>
      <c r="G410" s="6"/>
      <c r="I410" s="6" t="str">
        <f>'Revenue - Base year'!E122</f>
        <v/>
      </c>
    </row>
    <row r="411" spans="5:9" x14ac:dyDescent="0.2">
      <c r="E411" s="6"/>
      <c r="F411" s="6"/>
      <c r="G411" s="6"/>
      <c r="I411" s="6" t="str">
        <f>'Revenue - Base year'!E123</f>
        <v/>
      </c>
    </row>
    <row r="412" spans="5:9" x14ac:dyDescent="0.2">
      <c r="E412" s="6"/>
      <c r="F412" s="6"/>
      <c r="G412" s="6"/>
      <c r="I412" s="6" t="str">
        <f>'Revenue - Base year'!E124</f>
        <v/>
      </c>
    </row>
    <row r="413" spans="5:9" x14ac:dyDescent="0.2">
      <c r="E413" s="6"/>
      <c r="F413" s="6"/>
      <c r="G413" s="6"/>
      <c r="I413" s="6" t="str">
        <f>'Revenue - Base year'!E125</f>
        <v/>
      </c>
    </row>
    <row r="414" spans="5:9" x14ac:dyDescent="0.2">
      <c r="E414" s="6"/>
      <c r="F414" s="6"/>
      <c r="G414" s="6"/>
      <c r="I414" s="6" t="str">
        <f>'Revenue - Base year'!E126</f>
        <v/>
      </c>
    </row>
    <row r="415" spans="5:9" x14ac:dyDescent="0.2">
      <c r="E415" s="6"/>
      <c r="F415" s="6"/>
      <c r="G415" s="6"/>
      <c r="I415" s="6" t="str">
        <f>'Revenue - Base year'!E127</f>
        <v/>
      </c>
    </row>
    <row r="416" spans="5:9" x14ac:dyDescent="0.2">
      <c r="E416" s="6"/>
      <c r="F416" s="6"/>
      <c r="G416" s="6"/>
      <c r="I416" s="6" t="str">
        <f>'Revenue - Base year'!E128</f>
        <v/>
      </c>
    </row>
    <row r="417" spans="5:9" x14ac:dyDescent="0.2">
      <c r="E417" s="6"/>
      <c r="F417" s="6"/>
      <c r="G417" s="6"/>
      <c r="I417" s="6" t="str">
        <f>'Revenue - Base year'!E129</f>
        <v/>
      </c>
    </row>
    <row r="418" spans="5:9" x14ac:dyDescent="0.2">
      <c r="E418" s="6"/>
      <c r="F418" s="6"/>
      <c r="G418" s="6"/>
      <c r="I418" s="6" t="str">
        <f>'Revenue - Base year'!E130</f>
        <v/>
      </c>
    </row>
    <row r="419" spans="5:9" x14ac:dyDescent="0.2">
      <c r="E419" s="6"/>
      <c r="F419" s="6"/>
      <c r="G419" s="6"/>
      <c r="I419" s="6" t="str">
        <f>'Revenue - Base year'!E131</f>
        <v/>
      </c>
    </row>
    <row r="420" spans="5:9" x14ac:dyDescent="0.2">
      <c r="E420" s="6"/>
      <c r="F420" s="6"/>
      <c r="G420" s="6"/>
      <c r="I420" s="6" t="str">
        <f>'Revenue - Base year'!E132</f>
        <v/>
      </c>
    </row>
    <row r="421" spans="5:9" x14ac:dyDescent="0.2">
      <c r="E421" s="6"/>
      <c r="F421" s="6"/>
      <c r="G421" s="6"/>
      <c r="I421" s="6" t="str">
        <f>'Revenue - Base year'!E133</f>
        <v/>
      </c>
    </row>
    <row r="422" spans="5:9" x14ac:dyDescent="0.2">
      <c r="E422" s="6"/>
      <c r="F422" s="6"/>
      <c r="G422" s="6"/>
      <c r="I422" s="6" t="str">
        <f>'Revenue - Base year'!E134</f>
        <v/>
      </c>
    </row>
    <row r="423" spans="5:9" x14ac:dyDescent="0.2">
      <c r="E423" s="6"/>
      <c r="F423" s="6"/>
      <c r="G423" s="6"/>
      <c r="I423" s="6" t="str">
        <f>'Revenue - Base year'!E135</f>
        <v/>
      </c>
    </row>
    <row r="424" spans="5:9" x14ac:dyDescent="0.2">
      <c r="E424" s="6"/>
      <c r="F424" s="6"/>
      <c r="G424" s="6"/>
      <c r="I424" s="6" t="str">
        <f>'Revenue - Base year'!E136</f>
        <v/>
      </c>
    </row>
    <row r="425" spans="5:9" x14ac:dyDescent="0.2">
      <c r="E425" s="6"/>
      <c r="F425" s="6"/>
      <c r="G425" s="6"/>
      <c r="I425" s="6" t="str">
        <f>'Revenue - Base year'!E137</f>
        <v/>
      </c>
    </row>
    <row r="426" spans="5:9" x14ac:dyDescent="0.2">
      <c r="E426" s="6"/>
      <c r="F426" s="6"/>
      <c r="G426" s="6"/>
      <c r="I426" s="6" t="str">
        <f>'Revenue - Base year'!E138</f>
        <v/>
      </c>
    </row>
    <row r="427" spans="5:9" x14ac:dyDescent="0.2">
      <c r="E427" s="6"/>
      <c r="F427" s="6"/>
      <c r="G427" s="6"/>
      <c r="I427" s="6" t="str">
        <f>'Revenue - Base year'!E139</f>
        <v/>
      </c>
    </row>
    <row r="428" spans="5:9" x14ac:dyDescent="0.2">
      <c r="E428" s="6"/>
      <c r="F428" s="6"/>
      <c r="G428" s="6"/>
      <c r="I428" s="6" t="str">
        <f>'Revenue - Base year'!E140</f>
        <v/>
      </c>
    </row>
    <row r="429" spans="5:9" x14ac:dyDescent="0.2">
      <c r="E429" s="6"/>
      <c r="F429" s="6"/>
      <c r="G429" s="6"/>
      <c r="I429" s="6" t="str">
        <f>'Revenue - Base year'!E141</f>
        <v/>
      </c>
    </row>
    <row r="430" spans="5:9" x14ac:dyDescent="0.2">
      <c r="E430" s="6"/>
      <c r="F430" s="6"/>
      <c r="G430" s="6"/>
      <c r="I430" s="6" t="str">
        <f>'Revenue - Base year'!E142</f>
        <v/>
      </c>
    </row>
    <row r="431" spans="5:9" x14ac:dyDescent="0.2">
      <c r="E431" s="6"/>
      <c r="F431" s="6"/>
      <c r="G431" s="6"/>
      <c r="I431" s="6" t="str">
        <f>'Revenue - Base year'!E143</f>
        <v/>
      </c>
    </row>
    <row r="432" spans="5:9" x14ac:dyDescent="0.2">
      <c r="E432" s="6"/>
      <c r="F432" s="6"/>
      <c r="G432" s="6"/>
      <c r="I432" s="6" t="str">
        <f>'Revenue - Base year'!E144</f>
        <v/>
      </c>
    </row>
    <row r="433" spans="5:9" x14ac:dyDescent="0.2">
      <c r="E433" s="6"/>
      <c r="F433" s="6"/>
      <c r="G433" s="6"/>
      <c r="I433" s="6" t="str">
        <f>'Revenue - Base year'!E145</f>
        <v/>
      </c>
    </row>
    <row r="434" spans="5:9" x14ac:dyDescent="0.2">
      <c r="E434" s="6"/>
      <c r="F434" s="6"/>
      <c r="G434" s="6"/>
      <c r="I434" s="6" t="str">
        <f>'Revenue - Base year'!E146</f>
        <v/>
      </c>
    </row>
    <row r="435" spans="5:9" x14ac:dyDescent="0.2">
      <c r="E435" s="6"/>
      <c r="F435" s="6"/>
      <c r="G435" s="6"/>
      <c r="I435" s="6" t="str">
        <f>'Revenue - Base year'!E147</f>
        <v/>
      </c>
    </row>
    <row r="436" spans="5:9" x14ac:dyDescent="0.2">
      <c r="E436" s="6"/>
      <c r="F436" s="6"/>
      <c r="G436" s="6"/>
      <c r="I436" s="6" t="str">
        <f>'Revenue - Base year'!E148</f>
        <v/>
      </c>
    </row>
    <row r="437" spans="5:9" x14ac:dyDescent="0.2">
      <c r="E437" s="6"/>
      <c r="F437" s="6"/>
      <c r="G437" s="6"/>
      <c r="I437" s="6" t="str">
        <f>'Revenue - Base year'!E149</f>
        <v/>
      </c>
    </row>
    <row r="438" spans="5:9" x14ac:dyDescent="0.2">
      <c r="E438" s="6"/>
      <c r="F438" s="6"/>
      <c r="G438" s="6"/>
      <c r="I438" s="6" t="str">
        <f>'Revenue - Base year'!E150</f>
        <v/>
      </c>
    </row>
    <row r="439" spans="5:9" x14ac:dyDescent="0.2">
      <c r="E439" s="6"/>
      <c r="F439" s="6"/>
      <c r="G439" s="6"/>
      <c r="I439" s="6" t="str">
        <f>'Revenue - Base year'!E151</f>
        <v/>
      </c>
    </row>
  </sheetData>
  <mergeCells count="309">
    <mergeCell ref="Q152:Q156"/>
    <mergeCell ref="R152:R156"/>
    <mergeCell ref="R127:R131"/>
    <mergeCell ref="E132:E136"/>
    <mergeCell ref="F132:H136"/>
    <mergeCell ref="K132:K136"/>
    <mergeCell ref="L132:L136"/>
    <mergeCell ref="M132:M136"/>
    <mergeCell ref="N132:N136"/>
    <mergeCell ref="O132:O136"/>
    <mergeCell ref="P132:P136"/>
    <mergeCell ref="Q132:Q136"/>
    <mergeCell ref="R132:R136"/>
    <mergeCell ref="E127:E131"/>
    <mergeCell ref="F127:H131"/>
    <mergeCell ref="K127:K131"/>
    <mergeCell ref="L127:L131"/>
    <mergeCell ref="M127:M131"/>
    <mergeCell ref="N127:N131"/>
    <mergeCell ref="O127:O131"/>
    <mergeCell ref="P127:P131"/>
    <mergeCell ref="Q127:Q131"/>
    <mergeCell ref="E137:E141"/>
    <mergeCell ref="E142:E146"/>
    <mergeCell ref="N117:N121"/>
    <mergeCell ref="O117:O121"/>
    <mergeCell ref="P117:P121"/>
    <mergeCell ref="Q117:Q121"/>
    <mergeCell ref="E122:E126"/>
    <mergeCell ref="F122:H126"/>
    <mergeCell ref="K122:K126"/>
    <mergeCell ref="L122:L126"/>
    <mergeCell ref="R117:R121"/>
    <mergeCell ref="R122:R126"/>
    <mergeCell ref="E117:E121"/>
    <mergeCell ref="F117:H121"/>
    <mergeCell ref="K117:K121"/>
    <mergeCell ref="M122:M126"/>
    <mergeCell ref="N122:N126"/>
    <mergeCell ref="O122:O126"/>
    <mergeCell ref="P122:P126"/>
    <mergeCell ref="Q122:Q126"/>
    <mergeCell ref="L117:L121"/>
    <mergeCell ref="M117:M121"/>
    <mergeCell ref="R107:R111"/>
    <mergeCell ref="E107:E111"/>
    <mergeCell ref="F107:H111"/>
    <mergeCell ref="K107:K111"/>
    <mergeCell ref="L107:L111"/>
    <mergeCell ref="M107:M111"/>
    <mergeCell ref="N107:N111"/>
    <mergeCell ref="O107:O111"/>
    <mergeCell ref="P107:P111"/>
    <mergeCell ref="Q107:Q111"/>
    <mergeCell ref="F112:H116"/>
    <mergeCell ref="K112:K116"/>
    <mergeCell ref="L112:L116"/>
    <mergeCell ref="M112:M116"/>
    <mergeCell ref="N112:N116"/>
    <mergeCell ref="O112:O116"/>
    <mergeCell ref="P112:P116"/>
    <mergeCell ref="Q112:Q116"/>
    <mergeCell ref="E112:E116"/>
    <mergeCell ref="R92:R96"/>
    <mergeCell ref="E102:E106"/>
    <mergeCell ref="F102:H106"/>
    <mergeCell ref="K102:K106"/>
    <mergeCell ref="L102:L106"/>
    <mergeCell ref="M102:M106"/>
    <mergeCell ref="N102:N106"/>
    <mergeCell ref="O102:O106"/>
    <mergeCell ref="P102:P106"/>
    <mergeCell ref="Q102:Q106"/>
    <mergeCell ref="R102:R106"/>
    <mergeCell ref="E92:E96"/>
    <mergeCell ref="F92:H96"/>
    <mergeCell ref="K92:K96"/>
    <mergeCell ref="L92:L96"/>
    <mergeCell ref="M92:M96"/>
    <mergeCell ref="N92:N96"/>
    <mergeCell ref="O92:O96"/>
    <mergeCell ref="P92:P96"/>
    <mergeCell ref="Q92:Q96"/>
    <mergeCell ref="E97:E101"/>
    <mergeCell ref="F97:H101"/>
    <mergeCell ref="K97:K101"/>
    <mergeCell ref="L97:L101"/>
    <mergeCell ref="O82:O86"/>
    <mergeCell ref="P82:P86"/>
    <mergeCell ref="Q82:Q86"/>
    <mergeCell ref="R82:R86"/>
    <mergeCell ref="E87:E91"/>
    <mergeCell ref="F87:H91"/>
    <mergeCell ref="K87:K91"/>
    <mergeCell ref="L87:L91"/>
    <mergeCell ref="M87:M91"/>
    <mergeCell ref="N87:N91"/>
    <mergeCell ref="O87:O91"/>
    <mergeCell ref="P87:P91"/>
    <mergeCell ref="Q87:Q91"/>
    <mergeCell ref="R87:R91"/>
    <mergeCell ref="E82:E86"/>
    <mergeCell ref="F82:H86"/>
    <mergeCell ref="K82:K86"/>
    <mergeCell ref="L82:L86"/>
    <mergeCell ref="M82:M86"/>
    <mergeCell ref="N82:N86"/>
    <mergeCell ref="R47:R51"/>
    <mergeCell ref="E42:E46"/>
    <mergeCell ref="F42:H46"/>
    <mergeCell ref="K42:K46"/>
    <mergeCell ref="L42:L46"/>
    <mergeCell ref="M42:M46"/>
    <mergeCell ref="N42:N46"/>
    <mergeCell ref="O42:O46"/>
    <mergeCell ref="R77:R81"/>
    <mergeCell ref="E77:E81"/>
    <mergeCell ref="F77:H81"/>
    <mergeCell ref="K77:K81"/>
    <mergeCell ref="E67:E71"/>
    <mergeCell ref="E52:E56"/>
    <mergeCell ref="F52:H56"/>
    <mergeCell ref="K52:K56"/>
    <mergeCell ref="L52:L56"/>
    <mergeCell ref="M52:M56"/>
    <mergeCell ref="N52:N56"/>
    <mergeCell ref="O52:O56"/>
    <mergeCell ref="P52:P56"/>
    <mergeCell ref="Q52:Q56"/>
    <mergeCell ref="R52:R56"/>
    <mergeCell ref="O62:O66"/>
    <mergeCell ref="R27:R31"/>
    <mergeCell ref="R32:R36"/>
    <mergeCell ref="E37:E41"/>
    <mergeCell ref="F37:H41"/>
    <mergeCell ref="K37:K41"/>
    <mergeCell ref="L37:L41"/>
    <mergeCell ref="M37:M41"/>
    <mergeCell ref="N37:N41"/>
    <mergeCell ref="O37:O41"/>
    <mergeCell ref="P37:P41"/>
    <mergeCell ref="Q37:Q41"/>
    <mergeCell ref="R37:R41"/>
    <mergeCell ref="E32:E36"/>
    <mergeCell ref="F32:H36"/>
    <mergeCell ref="K32:K36"/>
    <mergeCell ref="L32:L36"/>
    <mergeCell ref="M32:M36"/>
    <mergeCell ref="N32:N36"/>
    <mergeCell ref="O32:O36"/>
    <mergeCell ref="P32:P36"/>
    <mergeCell ref="Q32:Q36"/>
    <mergeCell ref="E27:E31"/>
    <mergeCell ref="Q137:Q141"/>
    <mergeCell ref="R137:R141"/>
    <mergeCell ref="F142:H146"/>
    <mergeCell ref="K142:K146"/>
    <mergeCell ref="L142:L146"/>
    <mergeCell ref="M142:M146"/>
    <mergeCell ref="N142:N146"/>
    <mergeCell ref="O142:O146"/>
    <mergeCell ref="P42:P46"/>
    <mergeCell ref="Q42:Q46"/>
    <mergeCell ref="L77:L81"/>
    <mergeCell ref="M77:M81"/>
    <mergeCell ref="N77:N81"/>
    <mergeCell ref="O77:O81"/>
    <mergeCell ref="P77:P81"/>
    <mergeCell ref="Q77:Q81"/>
    <mergeCell ref="R42:R46"/>
    <mergeCell ref="F47:H51"/>
    <mergeCell ref="K47:K51"/>
    <mergeCell ref="L47:L51"/>
    <mergeCell ref="M47:M51"/>
    <mergeCell ref="N47:N51"/>
    <mergeCell ref="O47:O51"/>
    <mergeCell ref="P47:P51"/>
    <mergeCell ref="O22:O26"/>
    <mergeCell ref="P22:P26"/>
    <mergeCell ref="Q22:Q26"/>
    <mergeCell ref="K22:K26"/>
    <mergeCell ref="E57:E61"/>
    <mergeCell ref="F57:H61"/>
    <mergeCell ref="K57:K61"/>
    <mergeCell ref="L57:L61"/>
    <mergeCell ref="M57:M61"/>
    <mergeCell ref="N57:N61"/>
    <mergeCell ref="O57:O61"/>
    <mergeCell ref="P57:P61"/>
    <mergeCell ref="Q57:Q61"/>
    <mergeCell ref="F27:H31"/>
    <mergeCell ref="K27:K31"/>
    <mergeCell ref="L27:L31"/>
    <mergeCell ref="M27:M31"/>
    <mergeCell ref="N27:N31"/>
    <mergeCell ref="O27:O31"/>
    <mergeCell ref="P27:P31"/>
    <mergeCell ref="Q27:Q31"/>
    <mergeCell ref="E47:E51"/>
    <mergeCell ref="Q47:Q51"/>
    <mergeCell ref="L22:L26"/>
    <mergeCell ref="E12:E16"/>
    <mergeCell ref="F12:H16"/>
    <mergeCell ref="K12:K16"/>
    <mergeCell ref="L12:L16"/>
    <mergeCell ref="M12:M16"/>
    <mergeCell ref="N12:N16"/>
    <mergeCell ref="M22:M26"/>
    <mergeCell ref="N22:N26"/>
    <mergeCell ref="K6:T6"/>
    <mergeCell ref="F8:H9"/>
    <mergeCell ref="I8:I9"/>
    <mergeCell ref="K8:M8"/>
    <mergeCell ref="N8:R8"/>
    <mergeCell ref="S8:S9"/>
    <mergeCell ref="T8:T9"/>
    <mergeCell ref="O12:O16"/>
    <mergeCell ref="P12:P16"/>
    <mergeCell ref="Q12:Q16"/>
    <mergeCell ref="R12:R16"/>
    <mergeCell ref="R22:R26"/>
    <mergeCell ref="O17:O21"/>
    <mergeCell ref="P17:P21"/>
    <mergeCell ref="Q17:Q21"/>
    <mergeCell ref="R17:R21"/>
    <mergeCell ref="E17:E21"/>
    <mergeCell ref="F17:H21"/>
    <mergeCell ref="K17:K21"/>
    <mergeCell ref="L17:L21"/>
    <mergeCell ref="M17:M21"/>
    <mergeCell ref="N17:N21"/>
    <mergeCell ref="E22:E26"/>
    <mergeCell ref="F22:H26"/>
    <mergeCell ref="E62:E66"/>
    <mergeCell ref="F62:H66"/>
    <mergeCell ref="K62:K66"/>
    <mergeCell ref="L62:L66"/>
    <mergeCell ref="M62:M66"/>
    <mergeCell ref="N62:N66"/>
    <mergeCell ref="R57:R61"/>
    <mergeCell ref="R62:R66"/>
    <mergeCell ref="O72:O76"/>
    <mergeCell ref="P72:P76"/>
    <mergeCell ref="Q72:Q76"/>
    <mergeCell ref="R72:R76"/>
    <mergeCell ref="R67:R71"/>
    <mergeCell ref="F67:H71"/>
    <mergeCell ref="K67:K71"/>
    <mergeCell ref="L67:L71"/>
    <mergeCell ref="M67:M71"/>
    <mergeCell ref="N67:N71"/>
    <mergeCell ref="P62:P66"/>
    <mergeCell ref="Q62:Q66"/>
    <mergeCell ref="F72:H76"/>
    <mergeCell ref="K72:K76"/>
    <mergeCell ref="L72:L76"/>
    <mergeCell ref="M72:M76"/>
    <mergeCell ref="N72:N76"/>
    <mergeCell ref="O67:O71"/>
    <mergeCell ref="P67:P71"/>
    <mergeCell ref="Q67:Q71"/>
    <mergeCell ref="O152:O156"/>
    <mergeCell ref="M97:M101"/>
    <mergeCell ref="N97:N101"/>
    <mergeCell ref="R112:R116"/>
    <mergeCell ref="E147:E151"/>
    <mergeCell ref="F147:H151"/>
    <mergeCell ref="K147:K151"/>
    <mergeCell ref="L147:L151"/>
    <mergeCell ref="M147:M151"/>
    <mergeCell ref="N147:N151"/>
    <mergeCell ref="O97:O101"/>
    <mergeCell ref="P97:P101"/>
    <mergeCell ref="Q97:Q101"/>
    <mergeCell ref="R97:R101"/>
    <mergeCell ref="P142:P146"/>
    <mergeCell ref="Q142:Q146"/>
    <mergeCell ref="R142:R146"/>
    <mergeCell ref="F137:H141"/>
    <mergeCell ref="K137:K141"/>
    <mergeCell ref="L137:L141"/>
    <mergeCell ref="M137:M141"/>
    <mergeCell ref="N137:N141"/>
    <mergeCell ref="O137:O141"/>
    <mergeCell ref="P137:P141"/>
    <mergeCell ref="P152:P156"/>
    <mergeCell ref="E72:E76"/>
    <mergeCell ref="H165:I165"/>
    <mergeCell ref="N165:R165"/>
    <mergeCell ref="O147:O151"/>
    <mergeCell ref="P147:P151"/>
    <mergeCell ref="Q147:Q151"/>
    <mergeCell ref="R147:R151"/>
    <mergeCell ref="E157:E161"/>
    <mergeCell ref="F157:H161"/>
    <mergeCell ref="K157:K161"/>
    <mergeCell ref="L157:L161"/>
    <mergeCell ref="M157:M161"/>
    <mergeCell ref="N157:N161"/>
    <mergeCell ref="O157:O161"/>
    <mergeCell ref="P157:P161"/>
    <mergeCell ref="Q157:Q161"/>
    <mergeCell ref="R157:R161"/>
    <mergeCell ref="E152:E156"/>
    <mergeCell ref="F152:H156"/>
    <mergeCell ref="K152:K156"/>
    <mergeCell ref="L152:L156"/>
    <mergeCell ref="M152:M156"/>
    <mergeCell ref="N152:N156"/>
  </mergeCells>
  <dataValidations disablePrompts="1" count="3">
    <dataValidation type="list" allowBlank="1" showInputMessage="1" showErrorMessage="1" sqref="S12:S15 S152:S155 S117:S120 S102:S105 S107:S110 S22:S25 S27:S30 S32:S35 S37:S40 S42:S45 S47:S50 S142:S145 S17:S20 S52:S55 S57:S60 S62:S65 S67:S70 S97:S100 S112:S115 S147:S150 S157:S160 S137:S140 S87:S90 S72:S75 S77:S80 S92:S95 S82:S85 S127:S130 S132:S135 S122:S125">
      <formula1>$S$299:$S$308</formula1>
    </dataValidation>
    <dataValidation type="list" allowBlank="1" showInputMessage="1" showErrorMessage="1" sqref="I67:I86 I12:I16 I92:I111 I22:I26 I42:I46 I52:I56 I32:I36">
      <formula1>$I$300:$I$400</formula1>
    </dataValidation>
    <dataValidation type="list" allowBlank="1" showInputMessage="1" showErrorMessage="1" sqref="I17:I21 I27:I31 I37:I41 I47:I51 I57:I66 I87:I91 I112:I161">
      <formula1>$I$310:$I$410</formula1>
    </dataValidation>
  </dataValidations>
  <pageMargins left="0.25" right="0.25" top="0.75" bottom="0.75" header="0.3" footer="0.3"/>
  <pageSetup paperSize="8"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148" activePane="bottomLeft" state="frozen"/>
      <selection activeCell="A10" sqref="A10"/>
      <selection pane="bottomLeft" activeCell="A148" sqref="A148"/>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Queenscliffe (B)</v>
      </c>
    </row>
    <row r="4" spans="1:9" ht="13.5" thickBot="1" x14ac:dyDescent="0.25">
      <c r="B4" s="764"/>
      <c r="C4" s="764"/>
      <c r="D4" s="764"/>
      <c r="E4" s="764"/>
    </row>
    <row r="5" spans="1:9" ht="6.75" customHeight="1" x14ac:dyDescent="0.2">
      <c r="C5" s="9"/>
      <c r="D5" s="10"/>
      <c r="E5" s="80"/>
      <c r="F5" s="53"/>
      <c r="G5" s="89"/>
      <c r="H5" s="53"/>
      <c r="I5" s="47"/>
    </row>
    <row r="6" spans="1:9" x14ac:dyDescent="0.2">
      <c r="C6" s="13"/>
      <c r="D6" s="14"/>
      <c r="E6" s="841" t="str">
        <f>VLOOKUP(' Instructions'!C9,' Instructions'!Q9:U15,2,FALSE)</f>
        <v>2017-18</v>
      </c>
      <c r="F6" s="842"/>
      <c r="G6" s="842"/>
      <c r="H6" s="843"/>
      <c r="I6" s="31"/>
    </row>
    <row r="7" spans="1:9" ht="6.75" customHeight="1" x14ac:dyDescent="0.2">
      <c r="C7" s="13"/>
      <c r="D7" s="14"/>
      <c r="E7" s="81"/>
      <c r="F7" s="54"/>
      <c r="G7" s="149"/>
      <c r="H7" s="54"/>
      <c r="I7" s="31"/>
    </row>
    <row r="8" spans="1:9" ht="25.5" x14ac:dyDescent="0.2">
      <c r="C8" s="13"/>
      <c r="D8" s="14"/>
      <c r="E8" s="63" t="s">
        <v>92</v>
      </c>
      <c r="F8" s="60" t="s">
        <v>113</v>
      </c>
      <c r="G8" s="87" t="s">
        <v>100</v>
      </c>
      <c r="H8" s="60" t="s">
        <v>90</v>
      </c>
      <c r="I8" s="31"/>
    </row>
    <row r="9" spans="1:9" ht="7.5" customHeight="1" x14ac:dyDescent="0.2">
      <c r="C9" s="13"/>
      <c r="D9" s="14"/>
      <c r="F9" s="55"/>
      <c r="I9" s="31"/>
    </row>
    <row r="10" spans="1:9" ht="127.5" x14ac:dyDescent="0.2">
      <c r="C10" s="13"/>
      <c r="D10" s="19">
        <v>1</v>
      </c>
      <c r="E10" s="690" t="str">
        <f>'[1]Strategic Objective 1'!$B$7</f>
        <v>Aged Services</v>
      </c>
      <c r="F10" s="691" t="s">
        <v>115</v>
      </c>
      <c r="G10" s="698" t="s">
        <v>475</v>
      </c>
      <c r="H10" s="692">
        <f>'[2]10.3.1 Employees FTE status'!$B$29</f>
        <v>6.8552272148826852</v>
      </c>
      <c r="I10" s="31"/>
    </row>
    <row r="11" spans="1:9" s="83" customFormat="1" ht="102" x14ac:dyDescent="0.2">
      <c r="C11" s="84"/>
      <c r="D11" s="85">
        <f>D10+1</f>
        <v>2</v>
      </c>
      <c r="E11" s="693" t="str">
        <f>'[1]Strategic Objective 1'!$B$11</f>
        <v>Active Communities</v>
      </c>
      <c r="F11" s="694" t="s">
        <v>115</v>
      </c>
      <c r="G11" s="549" t="s">
        <v>476</v>
      </c>
      <c r="H11" s="695">
        <f>'[2]10.3.1 Employees FTE status'!$B$38</f>
        <v>0.92105263157894735</v>
      </c>
      <c r="I11" s="86"/>
    </row>
    <row r="12" spans="1:9" ht="114.75" x14ac:dyDescent="0.2">
      <c r="C12" s="13"/>
      <c r="D12" s="19">
        <f>D11+1</f>
        <v>3</v>
      </c>
      <c r="E12" s="693" t="str">
        <f>'[1]Strategic Objective 1'!$B$15</f>
        <v>Community Events</v>
      </c>
      <c r="F12" s="694" t="s">
        <v>115</v>
      </c>
      <c r="G12" s="549" t="s">
        <v>477</v>
      </c>
      <c r="H12" s="696">
        <f>'[2]10.3.1 Employees FTE status'!$B$42</f>
        <v>0.47368421052631576</v>
      </c>
      <c r="I12" s="31"/>
    </row>
    <row r="13" spans="1:9" ht="114.75" x14ac:dyDescent="0.2">
      <c r="C13" s="13"/>
      <c r="D13" s="19">
        <f>D12+1</f>
        <v>4</v>
      </c>
      <c r="E13" s="693" t="str">
        <f>'[1]Strategic Objective 1'!$B$19</f>
        <v>Maternal and Child Health (MCH)</v>
      </c>
      <c r="F13" s="694" t="s">
        <v>115</v>
      </c>
      <c r="G13" s="549" t="s">
        <v>478</v>
      </c>
      <c r="H13" s="696">
        <v>0</v>
      </c>
      <c r="I13" s="31"/>
    </row>
    <row r="14" spans="1:9" ht="15" customHeight="1" x14ac:dyDescent="0.2">
      <c r="C14" s="13"/>
      <c r="D14" s="19">
        <f>D13+1</f>
        <v>5</v>
      </c>
      <c r="E14" s="693" t="str">
        <f>'[1]Strategic Objective 1'!$B$23</f>
        <v>Kindergarten</v>
      </c>
      <c r="F14" s="694" t="s">
        <v>115</v>
      </c>
      <c r="G14" s="549" t="s">
        <v>479</v>
      </c>
      <c r="H14" s="696">
        <v>0</v>
      </c>
      <c r="I14" s="31"/>
    </row>
    <row r="15" spans="1:9" ht="165.75" x14ac:dyDescent="0.2">
      <c r="C15" s="13"/>
      <c r="D15" s="85">
        <f t="shared" ref="D15:D120" si="0">D14+1</f>
        <v>6</v>
      </c>
      <c r="E15" s="693" t="str">
        <f>'[1]Strategic Objective 1'!$B$27</f>
        <v>Environmental Health</v>
      </c>
      <c r="F15" s="694" t="s">
        <v>115</v>
      </c>
      <c r="G15" s="549" t="s">
        <v>480</v>
      </c>
      <c r="H15" s="696">
        <f>'[2]10.3.1 Employees FTE status'!$B$41</f>
        <v>0.63157894736842102</v>
      </c>
      <c r="I15" s="31"/>
    </row>
    <row r="16" spans="1:9" ht="204" x14ac:dyDescent="0.2">
      <c r="C16" s="13"/>
      <c r="D16" s="19">
        <f t="shared" si="0"/>
        <v>7</v>
      </c>
      <c r="E16" s="693" t="str">
        <f>'[1]Strategic Objective 1'!$B$31&amp;" "&amp;'[1]Strategic Objective 1'!$B$32</f>
        <v>Asset Management and Appearance of Public Places</v>
      </c>
      <c r="F16" s="694" t="s">
        <v>115</v>
      </c>
      <c r="G16" s="549" t="s">
        <v>481</v>
      </c>
      <c r="H16" s="696">
        <v>0</v>
      </c>
      <c r="I16" s="31"/>
    </row>
    <row r="17" spans="3:9" ht="127.5" x14ac:dyDescent="0.2">
      <c r="C17" s="13"/>
      <c r="D17" s="19">
        <f t="shared" si="0"/>
        <v>8</v>
      </c>
      <c r="E17" s="693" t="str">
        <f>'[1]Strategic Objective 1'!$B$35</f>
        <v>Local Laws, Safety and Amenity</v>
      </c>
      <c r="F17" s="694" t="s">
        <v>115</v>
      </c>
      <c r="G17" s="549" t="s">
        <v>482</v>
      </c>
      <c r="H17" s="696">
        <f>'[2]10.3.1 Employees FTE status'!$B$34+(SUM('[3]2017-18 BUDGET'!$D$70:$D$74,'[3]2017-18 BUDGET'!$D$76:$D$78))</f>
        <v>3.1209514170040489</v>
      </c>
      <c r="I17" s="31"/>
    </row>
    <row r="18" spans="3:9" ht="51" x14ac:dyDescent="0.2">
      <c r="C18" s="13"/>
      <c r="D18" s="19">
        <f t="shared" si="0"/>
        <v>9</v>
      </c>
      <c r="E18" s="693" t="str">
        <f>'[1]Strategic Objective 1'!$B$39</f>
        <v>Street Lighting</v>
      </c>
      <c r="F18" s="694" t="s">
        <v>115</v>
      </c>
      <c r="G18" s="549" t="s">
        <v>483</v>
      </c>
      <c r="H18" s="696">
        <v>0</v>
      </c>
      <c r="I18" s="31"/>
    </row>
    <row r="19" spans="3:9" ht="51" x14ac:dyDescent="0.2">
      <c r="C19" s="13"/>
      <c r="D19" s="85">
        <f t="shared" si="0"/>
        <v>10</v>
      </c>
      <c r="E19" s="693" t="str">
        <f>'[1]Strategic Objective 1'!$B$43</f>
        <v>Powerline Safety</v>
      </c>
      <c r="F19" s="694" t="s">
        <v>115</v>
      </c>
      <c r="G19" s="549" t="s">
        <v>484</v>
      </c>
      <c r="H19" s="696">
        <v>0</v>
      </c>
      <c r="I19" s="31"/>
    </row>
    <row r="20" spans="3:9" ht="114.75" x14ac:dyDescent="0.2">
      <c r="C20" s="13"/>
      <c r="D20" s="19">
        <f t="shared" si="0"/>
        <v>11</v>
      </c>
      <c r="E20" s="693" t="str">
        <f>'[1]Strategic Objective 1'!$B$47</f>
        <v>Library</v>
      </c>
      <c r="F20" s="694" t="s">
        <v>115</v>
      </c>
      <c r="G20" s="549" t="s">
        <v>485</v>
      </c>
      <c r="H20" s="696">
        <v>0</v>
      </c>
      <c r="I20" s="31"/>
    </row>
    <row r="21" spans="3:9" ht="140.25" x14ac:dyDescent="0.2">
      <c r="C21" s="13"/>
      <c r="D21" s="19">
        <f t="shared" si="0"/>
        <v>12</v>
      </c>
      <c r="E21" s="697" t="str">
        <f>'[1]Strategic Objective 1'!$B$51</f>
        <v>Recreation, Arts and Culture</v>
      </c>
      <c r="F21" s="694" t="s">
        <v>115</v>
      </c>
      <c r="G21" s="549" t="s">
        <v>486</v>
      </c>
      <c r="H21" s="696">
        <v>0</v>
      </c>
      <c r="I21" s="31"/>
    </row>
    <row r="22" spans="3:9" ht="153" x14ac:dyDescent="0.2">
      <c r="C22" s="13"/>
      <c r="D22" s="85">
        <f t="shared" si="0"/>
        <v>13</v>
      </c>
      <c r="E22" s="697" t="str">
        <f>'[1]Strategic Objective 2'!$B$7</f>
        <v>Environmental Sustainability</v>
      </c>
      <c r="F22" s="694" t="s">
        <v>99</v>
      </c>
      <c r="G22" s="549" t="s">
        <v>487</v>
      </c>
      <c r="H22" s="696">
        <f>'[2]10.3.1 Employees FTE status'!$B$40</f>
        <v>0.76315789473684215</v>
      </c>
      <c r="I22" s="31"/>
    </row>
    <row r="23" spans="3:9" ht="114.75" x14ac:dyDescent="0.2">
      <c r="C23" s="13"/>
      <c r="D23" s="19">
        <f t="shared" si="0"/>
        <v>14</v>
      </c>
      <c r="E23" s="697" t="str">
        <f>'[1]Strategic Objective 2'!$B$11</f>
        <v>Coastal Protection</v>
      </c>
      <c r="F23" s="694" t="s">
        <v>115</v>
      </c>
      <c r="G23" s="549" t="s">
        <v>488</v>
      </c>
      <c r="H23" s="696">
        <f>'[2]10.3.1 Employees FTE status'!$B$37</f>
        <v>1.1000000000000001</v>
      </c>
      <c r="I23" s="31"/>
    </row>
    <row r="24" spans="3:9" ht="204" x14ac:dyDescent="0.2">
      <c r="C24" s="13"/>
      <c r="D24" s="19">
        <f t="shared" si="0"/>
        <v>15</v>
      </c>
      <c r="E24" s="697" t="str">
        <f>'[1]Strategic Objective 2'!$B$15</f>
        <v>Waste Management and Recycling</v>
      </c>
      <c r="F24" s="694" t="s">
        <v>115</v>
      </c>
      <c r="G24" s="549" t="s">
        <v>489</v>
      </c>
      <c r="H24" s="696">
        <v>0</v>
      </c>
      <c r="I24" s="31"/>
    </row>
    <row r="25" spans="3:9" ht="178.5" x14ac:dyDescent="0.2">
      <c r="C25" s="13"/>
      <c r="D25" s="19">
        <f t="shared" si="0"/>
        <v>16</v>
      </c>
      <c r="E25" s="697" t="str">
        <f>'[1]Strategic Objective 3'!$B$7&amp;" "&amp;'[1]Strategic Objective 3'!$B$8</f>
        <v>Tourist Parks and Boat Ramp Services</v>
      </c>
      <c r="F25" s="694" t="s">
        <v>115</v>
      </c>
      <c r="G25" s="549" t="s">
        <v>490</v>
      </c>
      <c r="H25" s="696">
        <f>'[2]10.3.1 Employees FTE status'!$B$30</f>
        <v>5.9441295546558699</v>
      </c>
      <c r="I25" s="31"/>
    </row>
    <row r="26" spans="3:9" ht="114.75" x14ac:dyDescent="0.2">
      <c r="C26" s="13"/>
      <c r="D26" s="85">
        <f t="shared" si="0"/>
        <v>17</v>
      </c>
      <c r="E26" s="697" t="str">
        <f>'[1]Strategic Objective 3'!$B$11</f>
        <v>Visitor Information Centre (VIC)</v>
      </c>
      <c r="F26" s="694" t="s">
        <v>115</v>
      </c>
      <c r="G26" s="549" t="s">
        <v>491</v>
      </c>
      <c r="H26" s="696">
        <f>'[2]10.3.1 Employees FTE status'!$B$36+(SUM('[3]2017-18 BUDGET'!$D$48:$D$49))</f>
        <v>2.0973684210526318</v>
      </c>
      <c r="I26" s="31"/>
    </row>
    <row r="27" spans="3:9" ht="165.75" x14ac:dyDescent="0.2">
      <c r="C27" s="13"/>
      <c r="D27" s="19">
        <f t="shared" si="0"/>
        <v>18</v>
      </c>
      <c r="E27" s="697" t="str">
        <f>'[1]Strategic Objective 3'!$B$15</f>
        <v>Tourism and Economic Development</v>
      </c>
      <c r="F27" s="694" t="s">
        <v>99</v>
      </c>
      <c r="G27" s="549" t="s">
        <v>492</v>
      </c>
      <c r="H27" s="696">
        <f>'[2]10.3.1 Employees FTE status'!$B$39</f>
        <v>0.89473684210526316</v>
      </c>
      <c r="I27" s="31"/>
    </row>
    <row r="28" spans="3:9" ht="114.75" x14ac:dyDescent="0.2">
      <c r="C28" s="13"/>
      <c r="D28" s="19">
        <f t="shared" si="0"/>
        <v>19</v>
      </c>
      <c r="E28" s="697" t="str">
        <f>'[1]Strategic Objective 4'!$B$7</f>
        <v>Design and Project Management</v>
      </c>
      <c r="F28" s="694" t="s">
        <v>99</v>
      </c>
      <c r="G28" s="549" t="s">
        <v>493</v>
      </c>
      <c r="H28" s="696">
        <f>'[2]10.3.1 Employees FTE status'!$B$35</f>
        <v>1.5</v>
      </c>
      <c r="I28" s="31"/>
    </row>
    <row r="29" spans="3:9" ht="178.5" x14ac:dyDescent="0.2">
      <c r="C29" s="13"/>
      <c r="D29" s="19">
        <f t="shared" si="0"/>
        <v>20</v>
      </c>
      <c r="E29" s="697" t="str">
        <f>'[1]Strategic Objective 4'!$B$11</f>
        <v>Land Use Planning</v>
      </c>
      <c r="F29" s="694" t="s">
        <v>115</v>
      </c>
      <c r="G29" s="549" t="s">
        <v>494</v>
      </c>
      <c r="H29" s="696">
        <f>'[2]10.3.1 Employees FTE status'!$B$33</f>
        <v>2.1447368421052633</v>
      </c>
      <c r="I29" s="31"/>
    </row>
    <row r="30" spans="3:9" ht="102" x14ac:dyDescent="0.2">
      <c r="C30" s="13"/>
      <c r="D30" s="85">
        <f t="shared" si="0"/>
        <v>21</v>
      </c>
      <c r="E30" s="697" t="str">
        <f>'[1]Strategic Objective 4'!$B$15</f>
        <v>Heritage Conservation Advice</v>
      </c>
      <c r="F30" s="694" t="s">
        <v>115</v>
      </c>
      <c r="G30" s="549" t="s">
        <v>495</v>
      </c>
      <c r="H30" s="696">
        <v>0</v>
      </c>
      <c r="I30" s="31"/>
    </row>
    <row r="31" spans="3:9" ht="89.25" x14ac:dyDescent="0.2">
      <c r="C31" s="13"/>
      <c r="D31" s="19">
        <f t="shared" si="0"/>
        <v>22</v>
      </c>
      <c r="E31" s="697" t="str">
        <f>'[1]Strategic Objective 4'!$B$19</f>
        <v>Building Control</v>
      </c>
      <c r="F31" s="694" t="s">
        <v>115</v>
      </c>
      <c r="G31" s="549" t="s">
        <v>496</v>
      </c>
      <c r="H31" s="696">
        <v>0</v>
      </c>
      <c r="I31" s="31"/>
    </row>
    <row r="32" spans="3:9" ht="114.75" x14ac:dyDescent="0.2">
      <c r="C32" s="13"/>
      <c r="D32" s="19">
        <f t="shared" si="0"/>
        <v>23</v>
      </c>
      <c r="E32" s="697" t="str">
        <f>'[1]Strategic Objective 5'!$B$7</f>
        <v>Council Governance</v>
      </c>
      <c r="F32" s="694" t="s">
        <v>99</v>
      </c>
      <c r="G32" s="549" t="s">
        <v>497</v>
      </c>
      <c r="H32" s="696">
        <v>0</v>
      </c>
      <c r="I32" s="31"/>
    </row>
    <row r="33" spans="3:9" ht="140.25" x14ac:dyDescent="0.2">
      <c r="C33" s="13"/>
      <c r="D33" s="85">
        <f t="shared" si="0"/>
        <v>24</v>
      </c>
      <c r="E33" s="697" t="str">
        <f>'[1]Strategic Objective 5'!$B$11&amp;" "&amp;'[1]Strategic Objective 5'!$B$12</f>
        <v>Organisation Performance and Compliance</v>
      </c>
      <c r="F33" s="694" t="s">
        <v>114</v>
      </c>
      <c r="G33" s="549" t="s">
        <v>498</v>
      </c>
      <c r="H33" s="696">
        <f>'[2]10.3.1 Employees FTE status'!$B$28</f>
        <v>6.0210526315789474</v>
      </c>
      <c r="I33" s="31"/>
    </row>
    <row r="34" spans="3:9" ht="153" x14ac:dyDescent="0.2">
      <c r="C34" s="13"/>
      <c r="D34" s="19">
        <f t="shared" si="0"/>
        <v>25</v>
      </c>
      <c r="E34" s="697" t="str">
        <f>'[1]Strategic Objective 5'!$B$15&amp;" "&amp;'[1]Strategic Objective 5'!$B$16</f>
        <v>Community Engagement and Customer Service</v>
      </c>
      <c r="F34" s="694" t="s">
        <v>99</v>
      </c>
      <c r="G34" s="549" t="s">
        <v>499</v>
      </c>
      <c r="H34" s="696">
        <f>'[2]10.3.1 Employees FTE status'!$B$31+(SUM('[3]2017-18 BUDGET'!$D$97:$D$98))-0.1</f>
        <v>5.5315789473684207</v>
      </c>
      <c r="I34" s="31"/>
    </row>
    <row r="35" spans="3:9" ht="267.75" x14ac:dyDescent="0.2">
      <c r="C35" s="13"/>
      <c r="D35" s="19">
        <f t="shared" si="0"/>
        <v>26</v>
      </c>
      <c r="E35" s="697" t="str">
        <f>'[1]Strategic Objective 5'!$B$19</f>
        <v>Financial and Risk Management</v>
      </c>
      <c r="F35" s="694" t="s">
        <v>114</v>
      </c>
      <c r="G35" s="549" t="s">
        <v>500</v>
      </c>
      <c r="H35" s="696">
        <f>'[2]10.3.1 Employees FTE status'!$B$32</f>
        <v>3.8210526315789473</v>
      </c>
      <c r="I35" s="31"/>
    </row>
    <row r="36" spans="3:9" x14ac:dyDescent="0.2">
      <c r="C36" s="13"/>
      <c r="D36" s="19">
        <f t="shared" si="0"/>
        <v>27</v>
      </c>
      <c r="E36" s="99"/>
      <c r="F36" s="103"/>
      <c r="G36" s="549"/>
      <c r="H36" s="102"/>
      <c r="I36" s="31"/>
    </row>
    <row r="37" spans="3:9" x14ac:dyDescent="0.2">
      <c r="C37" s="13"/>
      <c r="D37" s="85">
        <f t="shared" si="0"/>
        <v>28</v>
      </c>
      <c r="E37" s="697" t="s">
        <v>502</v>
      </c>
      <c r="F37" s="694" t="s">
        <v>115</v>
      </c>
      <c r="G37" s="701" t="s">
        <v>501</v>
      </c>
      <c r="H37" s="696">
        <f>'[2]10.3.1 Employees FTE status'!$B$46</f>
        <v>1.6</v>
      </c>
      <c r="I37" s="31"/>
    </row>
    <row r="38" spans="3:9" x14ac:dyDescent="0.2">
      <c r="C38" s="13"/>
      <c r="D38" s="19">
        <f t="shared" si="0"/>
        <v>29</v>
      </c>
      <c r="E38" s="99"/>
      <c r="F38" s="103"/>
      <c r="G38" s="549"/>
      <c r="H38" s="102"/>
      <c r="I38" s="31"/>
    </row>
    <row r="39" spans="3:9" x14ac:dyDescent="0.2">
      <c r="C39" s="13"/>
      <c r="D39" s="19">
        <f t="shared" si="0"/>
        <v>30</v>
      </c>
      <c r="E39" s="99"/>
      <c r="F39" s="103"/>
      <c r="G39" s="549"/>
      <c r="H39" s="102"/>
      <c r="I39" s="31"/>
    </row>
    <row r="40" spans="3:9" x14ac:dyDescent="0.2">
      <c r="C40" s="13"/>
      <c r="D40" s="19">
        <f t="shared" si="0"/>
        <v>31</v>
      </c>
      <c r="E40" s="99"/>
      <c r="F40" s="103"/>
      <c r="G40" s="549"/>
      <c r="H40" s="102"/>
      <c r="I40" s="31"/>
    </row>
    <row r="41" spans="3:9" x14ac:dyDescent="0.2">
      <c r="C41" s="13"/>
      <c r="D41" s="85">
        <f t="shared" si="0"/>
        <v>32</v>
      </c>
      <c r="E41" s="99"/>
      <c r="F41" s="103"/>
      <c r="G41" s="549"/>
      <c r="H41" s="102"/>
      <c r="I41" s="31"/>
    </row>
    <row r="42" spans="3:9" x14ac:dyDescent="0.2">
      <c r="C42" s="13"/>
      <c r="D42" s="19">
        <f t="shared" si="0"/>
        <v>33</v>
      </c>
      <c r="E42" s="99"/>
      <c r="F42" s="103"/>
      <c r="G42" s="549"/>
      <c r="H42" s="102"/>
      <c r="I42" s="31"/>
    </row>
    <row r="43" spans="3:9" x14ac:dyDescent="0.2">
      <c r="C43" s="13"/>
      <c r="D43" s="19">
        <f t="shared" si="0"/>
        <v>34</v>
      </c>
      <c r="E43" s="99"/>
      <c r="F43" s="103"/>
      <c r="G43" s="549"/>
      <c r="H43" s="102"/>
      <c r="I43" s="31"/>
    </row>
    <row r="44" spans="3:9" x14ac:dyDescent="0.2">
      <c r="C44" s="13"/>
      <c r="D44" s="85">
        <f t="shared" si="0"/>
        <v>35</v>
      </c>
      <c r="E44" s="99"/>
      <c r="F44" s="103"/>
      <c r="G44" s="549"/>
      <c r="H44" s="102"/>
      <c r="I44" s="31"/>
    </row>
    <row r="45" spans="3:9" x14ac:dyDescent="0.2">
      <c r="C45" s="13"/>
      <c r="D45" s="19">
        <f t="shared" si="0"/>
        <v>36</v>
      </c>
      <c r="E45" s="99"/>
      <c r="F45" s="103"/>
      <c r="G45" s="549"/>
      <c r="H45" s="102"/>
      <c r="I45" s="31"/>
    </row>
    <row r="46" spans="3:9" x14ac:dyDescent="0.2">
      <c r="C46" s="13"/>
      <c r="D46" s="19">
        <f t="shared" si="0"/>
        <v>37</v>
      </c>
      <c r="E46" s="99"/>
      <c r="F46" s="103"/>
      <c r="G46" s="549"/>
      <c r="H46" s="102"/>
      <c r="I46" s="31"/>
    </row>
    <row r="47" spans="3:9" x14ac:dyDescent="0.2">
      <c r="C47" s="13"/>
      <c r="D47" s="19">
        <f t="shared" si="0"/>
        <v>38</v>
      </c>
      <c r="E47" s="99"/>
      <c r="F47" s="103"/>
      <c r="G47" s="549"/>
      <c r="H47" s="102"/>
      <c r="I47" s="31"/>
    </row>
    <row r="48" spans="3:9" x14ac:dyDescent="0.2">
      <c r="C48" s="13"/>
      <c r="D48" s="85">
        <f t="shared" si="0"/>
        <v>39</v>
      </c>
      <c r="E48" s="99"/>
      <c r="F48" s="103"/>
      <c r="G48" s="549"/>
      <c r="H48" s="102"/>
      <c r="I48" s="31"/>
    </row>
    <row r="49" spans="3:9" x14ac:dyDescent="0.2">
      <c r="C49" s="13"/>
      <c r="D49" s="19">
        <f t="shared" si="0"/>
        <v>40</v>
      </c>
      <c r="E49" s="99"/>
      <c r="F49" s="103"/>
      <c r="G49" s="549"/>
      <c r="H49" s="102"/>
      <c r="I49" s="31"/>
    </row>
    <row r="50" spans="3:9" x14ac:dyDescent="0.2">
      <c r="C50" s="13"/>
      <c r="D50" s="19">
        <f t="shared" si="0"/>
        <v>41</v>
      </c>
      <c r="E50" s="99"/>
      <c r="F50" s="103"/>
      <c r="G50" s="549"/>
      <c r="H50" s="102"/>
      <c r="I50" s="31"/>
    </row>
    <row r="51" spans="3:9" x14ac:dyDescent="0.2">
      <c r="C51" s="13"/>
      <c r="D51" s="19">
        <f t="shared" si="0"/>
        <v>42</v>
      </c>
      <c r="E51" s="99"/>
      <c r="F51" s="103"/>
      <c r="G51" s="549"/>
      <c r="H51" s="102"/>
      <c r="I51" s="31"/>
    </row>
    <row r="52" spans="3:9" x14ac:dyDescent="0.2">
      <c r="C52" s="13"/>
      <c r="D52" s="85">
        <f t="shared" si="0"/>
        <v>43</v>
      </c>
      <c r="E52" s="99"/>
      <c r="F52" s="103"/>
      <c r="G52" s="549"/>
      <c r="H52" s="102"/>
      <c r="I52" s="31"/>
    </row>
    <row r="53" spans="3:9" x14ac:dyDescent="0.2">
      <c r="C53" s="13"/>
      <c r="D53" s="19">
        <f t="shared" si="0"/>
        <v>44</v>
      </c>
      <c r="E53" s="99"/>
      <c r="F53" s="103"/>
      <c r="G53" s="549"/>
      <c r="H53" s="102"/>
      <c r="I53" s="31"/>
    </row>
    <row r="54" spans="3:9" x14ac:dyDescent="0.2">
      <c r="C54" s="13"/>
      <c r="D54" s="19">
        <f t="shared" si="0"/>
        <v>45</v>
      </c>
      <c r="E54" s="99"/>
      <c r="F54" s="103"/>
      <c r="G54" s="549"/>
      <c r="H54" s="102"/>
      <c r="I54" s="31"/>
    </row>
    <row r="55" spans="3:9" x14ac:dyDescent="0.2">
      <c r="C55" s="13"/>
      <c r="D55" s="85">
        <f t="shared" si="0"/>
        <v>46</v>
      </c>
      <c r="E55" s="99"/>
      <c r="F55" s="103"/>
      <c r="G55" s="549"/>
      <c r="H55" s="102"/>
      <c r="I55" s="31"/>
    </row>
    <row r="56" spans="3:9" x14ac:dyDescent="0.2">
      <c r="C56" s="13"/>
      <c r="D56" s="19">
        <f t="shared" si="0"/>
        <v>47</v>
      </c>
      <c r="E56" s="99"/>
      <c r="F56" s="103"/>
      <c r="G56" s="549"/>
      <c r="H56" s="102"/>
      <c r="I56" s="31"/>
    </row>
    <row r="57" spans="3:9" x14ac:dyDescent="0.2">
      <c r="C57" s="13"/>
      <c r="D57" s="19">
        <f t="shared" si="0"/>
        <v>48</v>
      </c>
      <c r="E57" s="99"/>
      <c r="F57" s="103"/>
      <c r="G57" s="549"/>
      <c r="H57" s="102"/>
      <c r="I57" s="31"/>
    </row>
    <row r="58" spans="3:9" x14ac:dyDescent="0.2">
      <c r="C58" s="13"/>
      <c r="D58" s="19">
        <f t="shared" si="0"/>
        <v>49</v>
      </c>
      <c r="E58" s="99"/>
      <c r="F58" s="103"/>
      <c r="G58" s="549"/>
      <c r="H58" s="102"/>
      <c r="I58" s="31"/>
    </row>
    <row r="59" spans="3:9" x14ac:dyDescent="0.2">
      <c r="C59" s="13"/>
      <c r="D59" s="85">
        <f t="shared" si="0"/>
        <v>50</v>
      </c>
      <c r="E59" s="99"/>
      <c r="F59" s="103"/>
      <c r="G59" s="549"/>
      <c r="H59" s="102"/>
      <c r="I59" s="31"/>
    </row>
    <row r="60" spans="3:9" x14ac:dyDescent="0.2">
      <c r="C60" s="13"/>
      <c r="D60" s="19">
        <f t="shared" si="0"/>
        <v>51</v>
      </c>
      <c r="E60" s="99"/>
      <c r="F60" s="103"/>
      <c r="G60" s="549"/>
      <c r="H60" s="102"/>
      <c r="I60" s="31"/>
    </row>
    <row r="61" spans="3:9" x14ac:dyDescent="0.2">
      <c r="C61" s="13"/>
      <c r="D61" s="19">
        <f t="shared" si="0"/>
        <v>52</v>
      </c>
      <c r="E61" s="99"/>
      <c r="F61" s="103"/>
      <c r="G61" s="549"/>
      <c r="H61" s="102"/>
      <c r="I61" s="31"/>
    </row>
    <row r="62" spans="3:9" x14ac:dyDescent="0.2">
      <c r="C62" s="13"/>
      <c r="D62" s="19">
        <f t="shared" si="0"/>
        <v>53</v>
      </c>
      <c r="E62" s="99"/>
      <c r="F62" s="103"/>
      <c r="G62" s="549"/>
      <c r="H62" s="102"/>
      <c r="I62" s="31"/>
    </row>
    <row r="63" spans="3:9" x14ac:dyDescent="0.2">
      <c r="C63" s="13"/>
      <c r="D63" s="85">
        <f t="shared" si="0"/>
        <v>54</v>
      </c>
      <c r="E63" s="99"/>
      <c r="F63" s="103"/>
      <c r="G63" s="549"/>
      <c r="H63" s="102"/>
      <c r="I63" s="31"/>
    </row>
    <row r="64" spans="3:9" x14ac:dyDescent="0.2">
      <c r="C64" s="13"/>
      <c r="D64" s="19">
        <f t="shared" si="0"/>
        <v>55</v>
      </c>
      <c r="E64" s="99"/>
      <c r="F64" s="103"/>
      <c r="G64" s="549"/>
      <c r="H64" s="102"/>
      <c r="I64" s="31"/>
    </row>
    <row r="65" spans="3:9" x14ac:dyDescent="0.2">
      <c r="C65" s="13"/>
      <c r="D65" s="19">
        <f t="shared" si="0"/>
        <v>56</v>
      </c>
      <c r="E65" s="99"/>
      <c r="F65" s="103"/>
      <c r="G65" s="549"/>
      <c r="H65" s="102"/>
      <c r="I65" s="31"/>
    </row>
    <row r="66" spans="3:9" x14ac:dyDescent="0.2">
      <c r="C66" s="13"/>
      <c r="D66" s="85">
        <f t="shared" si="0"/>
        <v>57</v>
      </c>
      <c r="E66" s="99"/>
      <c r="F66" s="103"/>
      <c r="G66" s="549"/>
      <c r="H66" s="102"/>
      <c r="I66" s="31"/>
    </row>
    <row r="67" spans="3:9" x14ac:dyDescent="0.2">
      <c r="C67" s="13"/>
      <c r="D67" s="19">
        <f t="shared" si="0"/>
        <v>58</v>
      </c>
      <c r="E67" s="99"/>
      <c r="F67" s="103"/>
      <c r="G67" s="549"/>
      <c r="H67" s="102"/>
      <c r="I67" s="31"/>
    </row>
    <row r="68" spans="3:9" x14ac:dyDescent="0.2">
      <c r="C68" s="13"/>
      <c r="D68" s="19">
        <f t="shared" si="0"/>
        <v>59</v>
      </c>
      <c r="E68" s="99"/>
      <c r="F68" s="103"/>
      <c r="G68" s="549"/>
      <c r="H68" s="102"/>
      <c r="I68" s="31"/>
    </row>
    <row r="69" spans="3:9" x14ac:dyDescent="0.2">
      <c r="C69" s="13"/>
      <c r="D69" s="85">
        <f t="shared" si="0"/>
        <v>60</v>
      </c>
      <c r="E69" s="99"/>
      <c r="F69" s="103"/>
      <c r="G69" s="549"/>
      <c r="H69" s="102"/>
      <c r="I69" s="31"/>
    </row>
    <row r="70" spans="3:9" x14ac:dyDescent="0.2">
      <c r="C70" s="13"/>
      <c r="D70" s="19">
        <f t="shared" si="0"/>
        <v>61</v>
      </c>
      <c r="E70" s="99"/>
      <c r="F70" s="103"/>
      <c r="G70" s="549"/>
      <c r="H70" s="102"/>
      <c r="I70" s="31"/>
    </row>
    <row r="71" spans="3:9" x14ac:dyDescent="0.2">
      <c r="C71" s="13"/>
      <c r="D71" s="19">
        <f t="shared" si="0"/>
        <v>62</v>
      </c>
      <c r="E71" s="99"/>
      <c r="F71" s="103"/>
      <c r="G71" s="549"/>
      <c r="H71" s="102"/>
      <c r="I71" s="31"/>
    </row>
    <row r="72" spans="3:9" x14ac:dyDescent="0.2">
      <c r="C72" s="13"/>
      <c r="D72" s="85">
        <f t="shared" si="0"/>
        <v>63</v>
      </c>
      <c r="E72" s="99"/>
      <c r="F72" s="103"/>
      <c r="G72" s="549"/>
      <c r="H72" s="102"/>
      <c r="I72" s="31"/>
    </row>
    <row r="73" spans="3:9" x14ac:dyDescent="0.2">
      <c r="C73" s="13"/>
      <c r="D73" s="19">
        <f t="shared" si="0"/>
        <v>64</v>
      </c>
      <c r="E73" s="99"/>
      <c r="F73" s="103"/>
      <c r="G73" s="549"/>
      <c r="H73" s="102"/>
      <c r="I73" s="31"/>
    </row>
    <row r="74" spans="3:9" x14ac:dyDescent="0.2">
      <c r="C74" s="13"/>
      <c r="D74" s="19">
        <f t="shared" si="0"/>
        <v>65</v>
      </c>
      <c r="E74" s="99"/>
      <c r="F74" s="103"/>
      <c r="G74" s="549"/>
      <c r="H74" s="102"/>
      <c r="I74" s="31"/>
    </row>
    <row r="75" spans="3:9" x14ac:dyDescent="0.2">
      <c r="C75" s="13"/>
      <c r="D75" s="85">
        <f t="shared" si="0"/>
        <v>66</v>
      </c>
      <c r="E75" s="99"/>
      <c r="F75" s="103"/>
      <c r="G75" s="549"/>
      <c r="H75" s="102"/>
      <c r="I75" s="31"/>
    </row>
    <row r="76" spans="3:9" x14ac:dyDescent="0.2">
      <c r="C76" s="13"/>
      <c r="D76" s="19">
        <f t="shared" si="0"/>
        <v>67</v>
      </c>
      <c r="E76" s="99"/>
      <c r="F76" s="103"/>
      <c r="G76" s="549"/>
      <c r="H76" s="102"/>
      <c r="I76" s="31"/>
    </row>
    <row r="77" spans="3:9" x14ac:dyDescent="0.2">
      <c r="C77" s="13"/>
      <c r="D77" s="19">
        <f t="shared" si="0"/>
        <v>68</v>
      </c>
      <c r="E77" s="99"/>
      <c r="F77" s="103"/>
      <c r="G77" s="549"/>
      <c r="H77" s="102"/>
      <c r="I77" s="31"/>
    </row>
    <row r="78" spans="3:9" x14ac:dyDescent="0.2">
      <c r="C78" s="13"/>
      <c r="D78" s="85">
        <f t="shared" si="0"/>
        <v>69</v>
      </c>
      <c r="E78" s="99"/>
      <c r="F78" s="103"/>
      <c r="G78" s="549"/>
      <c r="H78" s="102"/>
      <c r="I78" s="31"/>
    </row>
    <row r="79" spans="3:9" x14ac:dyDescent="0.2">
      <c r="C79" s="13"/>
      <c r="D79" s="19">
        <f t="shared" si="0"/>
        <v>70</v>
      </c>
      <c r="E79" s="99"/>
      <c r="F79" s="103"/>
      <c r="G79" s="549"/>
      <c r="H79" s="102"/>
      <c r="I79" s="31"/>
    </row>
    <row r="80" spans="3:9" x14ac:dyDescent="0.2">
      <c r="C80" s="13"/>
      <c r="D80" s="19">
        <f t="shared" si="0"/>
        <v>71</v>
      </c>
      <c r="E80" s="99"/>
      <c r="F80" s="103"/>
      <c r="G80" s="549"/>
      <c r="H80" s="102"/>
      <c r="I80" s="31"/>
    </row>
    <row r="81" spans="3:9" x14ac:dyDescent="0.2">
      <c r="C81" s="13"/>
      <c r="D81" s="85">
        <f t="shared" si="0"/>
        <v>72</v>
      </c>
      <c r="E81" s="99"/>
      <c r="F81" s="103"/>
      <c r="G81" s="549"/>
      <c r="H81" s="102"/>
      <c r="I81" s="31"/>
    </row>
    <row r="82" spans="3:9" x14ac:dyDescent="0.2">
      <c r="C82" s="13"/>
      <c r="D82" s="19">
        <f t="shared" si="0"/>
        <v>73</v>
      </c>
      <c r="E82" s="99"/>
      <c r="F82" s="103"/>
      <c r="G82" s="549"/>
      <c r="H82" s="102"/>
      <c r="I82" s="31"/>
    </row>
    <row r="83" spans="3:9" x14ac:dyDescent="0.2">
      <c r="C83" s="13"/>
      <c r="D83" s="19">
        <f t="shared" si="0"/>
        <v>74</v>
      </c>
      <c r="E83" s="99"/>
      <c r="F83" s="103"/>
      <c r="G83" s="549"/>
      <c r="H83" s="102"/>
      <c r="I83" s="31"/>
    </row>
    <row r="84" spans="3:9" x14ac:dyDescent="0.2">
      <c r="C84" s="13"/>
      <c r="D84" s="85">
        <f t="shared" si="0"/>
        <v>75</v>
      </c>
      <c r="E84" s="99"/>
      <c r="F84" s="103"/>
      <c r="G84" s="549"/>
      <c r="H84" s="102"/>
      <c r="I84" s="31"/>
    </row>
    <row r="85" spans="3:9" x14ac:dyDescent="0.2">
      <c r="C85" s="13"/>
      <c r="D85" s="19">
        <f t="shared" si="0"/>
        <v>76</v>
      </c>
      <c r="E85" s="99"/>
      <c r="F85" s="103"/>
      <c r="G85" s="549"/>
      <c r="H85" s="102"/>
      <c r="I85" s="31"/>
    </row>
    <row r="86" spans="3:9" x14ac:dyDescent="0.2">
      <c r="C86" s="13"/>
      <c r="D86" s="19">
        <f t="shared" si="0"/>
        <v>77</v>
      </c>
      <c r="E86" s="99"/>
      <c r="F86" s="103"/>
      <c r="G86" s="549"/>
      <c r="H86" s="102"/>
      <c r="I86" s="31"/>
    </row>
    <row r="87" spans="3:9" x14ac:dyDescent="0.2">
      <c r="C87" s="13"/>
      <c r="D87" s="85">
        <f t="shared" si="0"/>
        <v>78</v>
      </c>
      <c r="E87" s="99"/>
      <c r="F87" s="103"/>
      <c r="G87" s="549"/>
      <c r="H87" s="102"/>
      <c r="I87" s="31"/>
    </row>
    <row r="88" spans="3:9" x14ac:dyDescent="0.2">
      <c r="C88" s="13"/>
      <c r="D88" s="19">
        <f t="shared" si="0"/>
        <v>79</v>
      </c>
      <c r="E88" s="99"/>
      <c r="F88" s="103"/>
      <c r="G88" s="549"/>
      <c r="H88" s="102"/>
      <c r="I88" s="31"/>
    </row>
    <row r="89" spans="3:9" x14ac:dyDescent="0.2">
      <c r="C89" s="13"/>
      <c r="D89" s="19">
        <f t="shared" si="0"/>
        <v>80</v>
      </c>
      <c r="E89" s="99"/>
      <c r="F89" s="103"/>
      <c r="G89" s="549"/>
      <c r="H89" s="102"/>
      <c r="I89" s="31"/>
    </row>
    <row r="90" spans="3:9" x14ac:dyDescent="0.2">
      <c r="C90" s="13"/>
      <c r="D90" s="85">
        <f t="shared" si="0"/>
        <v>81</v>
      </c>
      <c r="E90" s="99"/>
      <c r="F90" s="103"/>
      <c r="G90" s="549"/>
      <c r="H90" s="102"/>
      <c r="I90" s="31"/>
    </row>
    <row r="91" spans="3:9" x14ac:dyDescent="0.2">
      <c r="C91" s="13"/>
      <c r="D91" s="19">
        <f t="shared" si="0"/>
        <v>82</v>
      </c>
      <c r="E91" s="99"/>
      <c r="F91" s="103"/>
      <c r="G91" s="549"/>
      <c r="H91" s="102"/>
      <c r="I91" s="31"/>
    </row>
    <row r="92" spans="3:9" x14ac:dyDescent="0.2">
      <c r="C92" s="13"/>
      <c r="D92" s="19">
        <f t="shared" si="0"/>
        <v>83</v>
      </c>
      <c r="E92" s="99"/>
      <c r="F92" s="103"/>
      <c r="G92" s="549"/>
      <c r="H92" s="102"/>
      <c r="I92" s="31"/>
    </row>
    <row r="93" spans="3:9" x14ac:dyDescent="0.2">
      <c r="C93" s="13"/>
      <c r="D93" s="85">
        <f t="shared" si="0"/>
        <v>84</v>
      </c>
      <c r="E93" s="99"/>
      <c r="F93" s="103"/>
      <c r="G93" s="549"/>
      <c r="H93" s="102"/>
      <c r="I93" s="31"/>
    </row>
    <row r="94" spans="3:9" x14ac:dyDescent="0.2">
      <c r="C94" s="13"/>
      <c r="D94" s="19">
        <f t="shared" si="0"/>
        <v>85</v>
      </c>
      <c r="E94" s="99"/>
      <c r="F94" s="103"/>
      <c r="G94" s="549"/>
      <c r="H94" s="102"/>
      <c r="I94" s="31"/>
    </row>
    <row r="95" spans="3:9" x14ac:dyDescent="0.2">
      <c r="C95" s="13"/>
      <c r="D95" s="19">
        <f t="shared" si="0"/>
        <v>86</v>
      </c>
      <c r="E95" s="99"/>
      <c r="F95" s="103"/>
      <c r="G95" s="549"/>
      <c r="H95" s="102"/>
      <c r="I95" s="31"/>
    </row>
    <row r="96" spans="3:9" x14ac:dyDescent="0.2">
      <c r="C96" s="13"/>
      <c r="D96" s="85">
        <f t="shared" si="0"/>
        <v>87</v>
      </c>
      <c r="E96" s="99"/>
      <c r="F96" s="103"/>
      <c r="G96" s="549"/>
      <c r="H96" s="102"/>
      <c r="I96" s="31"/>
    </row>
    <row r="97" spans="3:9" x14ac:dyDescent="0.2">
      <c r="C97" s="13"/>
      <c r="D97" s="19">
        <f t="shared" si="0"/>
        <v>88</v>
      </c>
      <c r="E97" s="99"/>
      <c r="F97" s="103"/>
      <c r="G97" s="549"/>
      <c r="H97" s="102"/>
      <c r="I97" s="31"/>
    </row>
    <row r="98" spans="3:9" x14ac:dyDescent="0.2">
      <c r="C98" s="13"/>
      <c r="D98" s="19">
        <f t="shared" si="0"/>
        <v>89</v>
      </c>
      <c r="E98" s="99"/>
      <c r="F98" s="103"/>
      <c r="G98" s="549"/>
      <c r="H98" s="102"/>
      <c r="I98" s="31"/>
    </row>
    <row r="99" spans="3:9" x14ac:dyDescent="0.2">
      <c r="C99" s="13"/>
      <c r="D99" s="85">
        <f t="shared" si="0"/>
        <v>90</v>
      </c>
      <c r="E99" s="99"/>
      <c r="F99" s="103"/>
      <c r="G99" s="549"/>
      <c r="H99" s="102"/>
      <c r="I99" s="31"/>
    </row>
    <row r="100" spans="3:9" x14ac:dyDescent="0.2">
      <c r="C100" s="13"/>
      <c r="D100" s="19">
        <f t="shared" si="0"/>
        <v>91</v>
      </c>
      <c r="E100" s="99"/>
      <c r="F100" s="103"/>
      <c r="G100" s="549"/>
      <c r="H100" s="102"/>
      <c r="I100" s="31"/>
    </row>
    <row r="101" spans="3:9" x14ac:dyDescent="0.2">
      <c r="C101" s="13"/>
      <c r="D101" s="19">
        <f t="shared" si="0"/>
        <v>92</v>
      </c>
      <c r="E101" s="99"/>
      <c r="F101" s="103"/>
      <c r="G101" s="549"/>
      <c r="H101" s="102"/>
      <c r="I101" s="31"/>
    </row>
    <row r="102" spans="3:9" x14ac:dyDescent="0.2">
      <c r="C102" s="13"/>
      <c r="D102" s="85">
        <f t="shared" si="0"/>
        <v>93</v>
      </c>
      <c r="E102" s="99"/>
      <c r="F102" s="103"/>
      <c r="G102" s="549"/>
      <c r="H102" s="102"/>
      <c r="I102" s="31"/>
    </row>
    <row r="103" spans="3:9" x14ac:dyDescent="0.2">
      <c r="C103" s="13"/>
      <c r="D103" s="19">
        <f t="shared" si="0"/>
        <v>94</v>
      </c>
      <c r="E103" s="99"/>
      <c r="F103" s="103"/>
      <c r="G103" s="549"/>
      <c r="H103" s="102"/>
      <c r="I103" s="31"/>
    </row>
    <row r="104" spans="3:9" x14ac:dyDescent="0.2">
      <c r="C104" s="13"/>
      <c r="D104" s="19">
        <f t="shared" si="0"/>
        <v>95</v>
      </c>
      <c r="E104" s="99"/>
      <c r="F104" s="103"/>
      <c r="G104" s="549"/>
      <c r="H104" s="102"/>
      <c r="I104" s="31"/>
    </row>
    <row r="105" spans="3:9" x14ac:dyDescent="0.2">
      <c r="C105" s="13"/>
      <c r="D105" s="85">
        <f t="shared" si="0"/>
        <v>96</v>
      </c>
      <c r="E105" s="99"/>
      <c r="F105" s="103"/>
      <c r="G105" s="549"/>
      <c r="H105" s="102"/>
      <c r="I105" s="31"/>
    </row>
    <row r="106" spans="3:9" x14ac:dyDescent="0.2">
      <c r="C106" s="13"/>
      <c r="D106" s="19">
        <f t="shared" si="0"/>
        <v>97</v>
      </c>
      <c r="E106" s="99"/>
      <c r="F106" s="103"/>
      <c r="G106" s="549"/>
      <c r="H106" s="102"/>
      <c r="I106" s="31"/>
    </row>
    <row r="107" spans="3:9" x14ac:dyDescent="0.2">
      <c r="C107" s="13"/>
      <c r="D107" s="19">
        <f t="shared" si="0"/>
        <v>98</v>
      </c>
      <c r="E107" s="99"/>
      <c r="F107" s="103"/>
      <c r="G107" s="549"/>
      <c r="H107" s="102"/>
      <c r="I107" s="31"/>
    </row>
    <row r="108" spans="3:9" x14ac:dyDescent="0.2">
      <c r="C108" s="13"/>
      <c r="D108" s="85">
        <f t="shared" si="0"/>
        <v>99</v>
      </c>
      <c r="E108" s="99"/>
      <c r="F108" s="103"/>
      <c r="G108" s="549"/>
      <c r="H108" s="102"/>
      <c r="I108" s="31"/>
    </row>
    <row r="109" spans="3:9" x14ac:dyDescent="0.2">
      <c r="C109" s="13"/>
      <c r="D109" s="19">
        <f t="shared" si="0"/>
        <v>100</v>
      </c>
      <c r="E109" s="99"/>
      <c r="F109" s="103"/>
      <c r="G109" s="549"/>
      <c r="H109" s="102"/>
      <c r="I109" s="31"/>
    </row>
    <row r="110" spans="3:9" x14ac:dyDescent="0.2">
      <c r="C110" s="13"/>
      <c r="D110" s="19">
        <f t="shared" si="0"/>
        <v>101</v>
      </c>
      <c r="E110" s="99"/>
      <c r="F110" s="103"/>
      <c r="G110" s="549"/>
      <c r="H110" s="102"/>
      <c r="I110" s="31"/>
    </row>
    <row r="111" spans="3:9" x14ac:dyDescent="0.2">
      <c r="C111" s="13"/>
      <c r="D111" s="85">
        <f t="shared" si="0"/>
        <v>102</v>
      </c>
      <c r="E111" s="99"/>
      <c r="F111" s="103"/>
      <c r="G111" s="549"/>
      <c r="H111" s="102"/>
      <c r="I111" s="31"/>
    </row>
    <row r="112" spans="3:9" x14ac:dyDescent="0.2">
      <c r="C112" s="13"/>
      <c r="D112" s="19">
        <f t="shared" si="0"/>
        <v>103</v>
      </c>
      <c r="E112" s="99"/>
      <c r="F112" s="103"/>
      <c r="G112" s="549"/>
      <c r="H112" s="102"/>
      <c r="I112" s="31"/>
    </row>
    <row r="113" spans="3:9" x14ac:dyDescent="0.2">
      <c r="C113" s="13"/>
      <c r="D113" s="19">
        <f t="shared" si="0"/>
        <v>104</v>
      </c>
      <c r="E113" s="99"/>
      <c r="F113" s="103"/>
      <c r="G113" s="549"/>
      <c r="H113" s="102"/>
      <c r="I113" s="31"/>
    </row>
    <row r="114" spans="3:9" x14ac:dyDescent="0.2">
      <c r="C114" s="13"/>
      <c r="D114" s="85">
        <f t="shared" si="0"/>
        <v>105</v>
      </c>
      <c r="E114" s="99"/>
      <c r="F114" s="103"/>
      <c r="G114" s="549"/>
      <c r="H114" s="102"/>
      <c r="I114" s="31"/>
    </row>
    <row r="115" spans="3:9" x14ac:dyDescent="0.2">
      <c r="C115" s="13"/>
      <c r="D115" s="19">
        <f t="shared" si="0"/>
        <v>106</v>
      </c>
      <c r="E115" s="99"/>
      <c r="F115" s="103"/>
      <c r="G115" s="549"/>
      <c r="H115" s="102"/>
      <c r="I115" s="31"/>
    </row>
    <row r="116" spans="3:9" x14ac:dyDescent="0.2">
      <c r="C116" s="13"/>
      <c r="D116" s="19">
        <f t="shared" si="0"/>
        <v>107</v>
      </c>
      <c r="E116" s="99"/>
      <c r="F116" s="103"/>
      <c r="G116" s="549"/>
      <c r="H116" s="102"/>
      <c r="I116" s="31"/>
    </row>
    <row r="117" spans="3:9" x14ac:dyDescent="0.2">
      <c r="C117" s="13"/>
      <c r="D117" s="85">
        <f t="shared" si="0"/>
        <v>108</v>
      </c>
      <c r="E117" s="99"/>
      <c r="F117" s="103"/>
      <c r="G117" s="549"/>
      <c r="H117" s="102"/>
      <c r="I117" s="31"/>
    </row>
    <row r="118" spans="3:9" x14ac:dyDescent="0.2">
      <c r="C118" s="13"/>
      <c r="D118" s="19">
        <f t="shared" si="0"/>
        <v>109</v>
      </c>
      <c r="E118" s="99"/>
      <c r="F118" s="103"/>
      <c r="G118" s="549"/>
      <c r="H118" s="102"/>
      <c r="I118" s="31"/>
    </row>
    <row r="119" spans="3:9" x14ac:dyDescent="0.2">
      <c r="C119" s="13"/>
      <c r="D119" s="19">
        <f t="shared" si="0"/>
        <v>110</v>
      </c>
      <c r="E119" s="99"/>
      <c r="F119" s="103"/>
      <c r="G119" s="549"/>
      <c r="H119" s="102"/>
      <c r="I119" s="31"/>
    </row>
    <row r="120" spans="3:9" x14ac:dyDescent="0.2">
      <c r="C120" s="13"/>
      <c r="D120" s="85">
        <f t="shared" si="0"/>
        <v>111</v>
      </c>
      <c r="E120" s="99"/>
      <c r="F120" s="103"/>
      <c r="G120" s="549"/>
      <c r="H120" s="102"/>
      <c r="I120" s="31"/>
    </row>
    <row r="121" spans="3:9" x14ac:dyDescent="0.2">
      <c r="C121" s="13"/>
      <c r="D121" s="19">
        <f t="shared" ref="D121:D149" si="1">D120+1</f>
        <v>112</v>
      </c>
      <c r="E121" s="99"/>
      <c r="F121" s="103"/>
      <c r="G121" s="549"/>
      <c r="H121" s="102"/>
      <c r="I121" s="31"/>
    </row>
    <row r="122" spans="3:9" x14ac:dyDescent="0.2">
      <c r="C122" s="13"/>
      <c r="D122" s="19">
        <f t="shared" si="1"/>
        <v>113</v>
      </c>
      <c r="E122" s="99"/>
      <c r="F122" s="103"/>
      <c r="G122" s="549"/>
      <c r="H122" s="102"/>
      <c r="I122" s="31"/>
    </row>
    <row r="123" spans="3:9" x14ac:dyDescent="0.2">
      <c r="C123" s="13"/>
      <c r="D123" s="85">
        <f t="shared" si="1"/>
        <v>114</v>
      </c>
      <c r="E123" s="99"/>
      <c r="F123" s="103"/>
      <c r="G123" s="549"/>
      <c r="H123" s="102"/>
      <c r="I123" s="31"/>
    </row>
    <row r="124" spans="3:9" x14ac:dyDescent="0.2">
      <c r="C124" s="13"/>
      <c r="D124" s="19">
        <f t="shared" si="1"/>
        <v>115</v>
      </c>
      <c r="E124" s="99"/>
      <c r="F124" s="103"/>
      <c r="G124" s="549"/>
      <c r="H124" s="102"/>
      <c r="I124" s="31"/>
    </row>
    <row r="125" spans="3:9" x14ac:dyDescent="0.2">
      <c r="C125" s="13"/>
      <c r="D125" s="19">
        <f t="shared" si="1"/>
        <v>116</v>
      </c>
      <c r="E125" s="99"/>
      <c r="F125" s="103"/>
      <c r="G125" s="549"/>
      <c r="H125" s="102"/>
      <c r="I125" s="31"/>
    </row>
    <row r="126" spans="3:9" x14ac:dyDescent="0.2">
      <c r="C126" s="13"/>
      <c r="D126" s="85">
        <f t="shared" si="1"/>
        <v>117</v>
      </c>
      <c r="E126" s="99"/>
      <c r="F126" s="103"/>
      <c r="G126" s="549"/>
      <c r="H126" s="102"/>
      <c r="I126" s="31"/>
    </row>
    <row r="127" spans="3:9" x14ac:dyDescent="0.2">
      <c r="C127" s="13"/>
      <c r="D127" s="19">
        <f t="shared" si="1"/>
        <v>118</v>
      </c>
      <c r="E127" s="99"/>
      <c r="F127" s="103"/>
      <c r="G127" s="549"/>
      <c r="H127" s="102"/>
      <c r="I127" s="31"/>
    </row>
    <row r="128" spans="3:9" x14ac:dyDescent="0.2">
      <c r="C128" s="13"/>
      <c r="D128" s="19">
        <f t="shared" si="1"/>
        <v>119</v>
      </c>
      <c r="E128" s="99"/>
      <c r="F128" s="103"/>
      <c r="G128" s="549"/>
      <c r="H128" s="102"/>
      <c r="I128" s="31"/>
    </row>
    <row r="129" spans="3:9" x14ac:dyDescent="0.2">
      <c r="C129" s="13"/>
      <c r="D129" s="85">
        <f t="shared" si="1"/>
        <v>120</v>
      </c>
      <c r="E129" s="99"/>
      <c r="F129" s="103"/>
      <c r="G129" s="549"/>
      <c r="H129" s="102"/>
      <c r="I129" s="31"/>
    </row>
    <row r="130" spans="3:9" x14ac:dyDescent="0.2">
      <c r="C130" s="13"/>
      <c r="D130" s="19">
        <f t="shared" si="1"/>
        <v>121</v>
      </c>
      <c r="E130" s="99"/>
      <c r="F130" s="103"/>
      <c r="G130" s="549"/>
      <c r="H130" s="102"/>
      <c r="I130" s="31"/>
    </row>
    <row r="131" spans="3:9" x14ac:dyDescent="0.2">
      <c r="C131" s="13"/>
      <c r="D131" s="19">
        <f t="shared" si="1"/>
        <v>122</v>
      </c>
      <c r="E131" s="99"/>
      <c r="F131" s="103"/>
      <c r="G131" s="549"/>
      <c r="H131" s="102"/>
      <c r="I131" s="31"/>
    </row>
    <row r="132" spans="3:9" x14ac:dyDescent="0.2">
      <c r="C132" s="13"/>
      <c r="D132" s="85">
        <f t="shared" si="1"/>
        <v>123</v>
      </c>
      <c r="E132" s="99"/>
      <c r="F132" s="103"/>
      <c r="G132" s="549"/>
      <c r="H132" s="102"/>
      <c r="I132" s="31"/>
    </row>
    <row r="133" spans="3:9" x14ac:dyDescent="0.2">
      <c r="C133" s="13"/>
      <c r="D133" s="19">
        <f t="shared" si="1"/>
        <v>124</v>
      </c>
      <c r="E133" s="99"/>
      <c r="F133" s="103"/>
      <c r="G133" s="549"/>
      <c r="H133" s="102"/>
      <c r="I133" s="31"/>
    </row>
    <row r="134" spans="3:9" x14ac:dyDescent="0.2">
      <c r="C134" s="13"/>
      <c r="D134" s="19">
        <f t="shared" si="1"/>
        <v>125</v>
      </c>
      <c r="E134" s="99"/>
      <c r="F134" s="103"/>
      <c r="G134" s="549"/>
      <c r="H134" s="102"/>
      <c r="I134" s="31"/>
    </row>
    <row r="135" spans="3:9" x14ac:dyDescent="0.2">
      <c r="C135" s="13"/>
      <c r="D135" s="85">
        <f t="shared" si="1"/>
        <v>126</v>
      </c>
      <c r="E135" s="99"/>
      <c r="F135" s="103"/>
      <c r="G135" s="549"/>
      <c r="H135" s="102"/>
      <c r="I135" s="31"/>
    </row>
    <row r="136" spans="3:9" x14ac:dyDescent="0.2">
      <c r="C136" s="13"/>
      <c r="D136" s="19">
        <f t="shared" si="1"/>
        <v>127</v>
      </c>
      <c r="E136" s="99"/>
      <c r="F136" s="103"/>
      <c r="G136" s="549"/>
      <c r="H136" s="102"/>
      <c r="I136" s="31"/>
    </row>
    <row r="137" spans="3:9" x14ac:dyDescent="0.2">
      <c r="C137" s="13"/>
      <c r="D137" s="19">
        <f t="shared" si="1"/>
        <v>128</v>
      </c>
      <c r="E137" s="99"/>
      <c r="F137" s="103"/>
      <c r="G137" s="549"/>
      <c r="H137" s="102"/>
      <c r="I137" s="31"/>
    </row>
    <row r="138" spans="3:9" x14ac:dyDescent="0.2">
      <c r="C138" s="13"/>
      <c r="D138" s="85">
        <f t="shared" si="1"/>
        <v>129</v>
      </c>
      <c r="E138" s="99"/>
      <c r="F138" s="103"/>
      <c r="G138" s="549"/>
      <c r="H138" s="102"/>
      <c r="I138" s="31"/>
    </row>
    <row r="139" spans="3:9" x14ac:dyDescent="0.2">
      <c r="C139" s="13"/>
      <c r="D139" s="19">
        <f t="shared" si="1"/>
        <v>130</v>
      </c>
      <c r="E139" s="99"/>
      <c r="F139" s="103"/>
      <c r="G139" s="549"/>
      <c r="H139" s="102"/>
      <c r="I139" s="31"/>
    </row>
    <row r="140" spans="3:9" x14ac:dyDescent="0.2">
      <c r="C140" s="13"/>
      <c r="D140" s="19">
        <f t="shared" si="1"/>
        <v>131</v>
      </c>
      <c r="E140" s="99"/>
      <c r="F140" s="103"/>
      <c r="G140" s="549"/>
      <c r="H140" s="102"/>
      <c r="I140" s="31"/>
    </row>
    <row r="141" spans="3:9" x14ac:dyDescent="0.2">
      <c r="C141" s="13"/>
      <c r="D141" s="85">
        <f t="shared" si="1"/>
        <v>132</v>
      </c>
      <c r="E141" s="99"/>
      <c r="F141" s="103"/>
      <c r="G141" s="549"/>
      <c r="H141" s="102"/>
      <c r="I141" s="31"/>
    </row>
    <row r="142" spans="3:9" x14ac:dyDescent="0.2">
      <c r="C142" s="13"/>
      <c r="D142" s="19">
        <f t="shared" si="1"/>
        <v>133</v>
      </c>
      <c r="E142" s="99"/>
      <c r="F142" s="103"/>
      <c r="G142" s="549"/>
      <c r="H142" s="102"/>
      <c r="I142" s="31"/>
    </row>
    <row r="143" spans="3:9" x14ac:dyDescent="0.2">
      <c r="C143" s="13"/>
      <c r="D143" s="19">
        <f t="shared" si="1"/>
        <v>134</v>
      </c>
      <c r="E143" s="99"/>
      <c r="F143" s="103"/>
      <c r="G143" s="549"/>
      <c r="H143" s="102"/>
      <c r="I143" s="31"/>
    </row>
    <row r="144" spans="3:9" x14ac:dyDescent="0.2">
      <c r="C144" s="13"/>
      <c r="D144" s="85">
        <f t="shared" si="1"/>
        <v>135</v>
      </c>
      <c r="E144" s="99"/>
      <c r="F144" s="103"/>
      <c r="G144" s="549"/>
      <c r="H144" s="102"/>
      <c r="I144" s="31"/>
    </row>
    <row r="145" spans="3:9" x14ac:dyDescent="0.2">
      <c r="C145" s="13"/>
      <c r="D145" s="19">
        <f t="shared" si="1"/>
        <v>136</v>
      </c>
      <c r="E145" s="99"/>
      <c r="F145" s="103"/>
      <c r="G145" s="549"/>
      <c r="H145" s="102"/>
      <c r="I145" s="31"/>
    </row>
    <row r="146" spans="3:9" x14ac:dyDescent="0.2">
      <c r="C146" s="13"/>
      <c r="D146" s="19">
        <f t="shared" si="1"/>
        <v>137</v>
      </c>
      <c r="E146" s="99"/>
      <c r="F146" s="103"/>
      <c r="G146" s="549"/>
      <c r="H146" s="102"/>
      <c r="I146" s="31"/>
    </row>
    <row r="147" spans="3:9" x14ac:dyDescent="0.2">
      <c r="C147" s="13"/>
      <c r="D147" s="85">
        <f t="shared" si="1"/>
        <v>138</v>
      </c>
      <c r="E147" s="99"/>
      <c r="F147" s="103"/>
      <c r="G147" s="549"/>
      <c r="H147" s="102"/>
      <c r="I147" s="31"/>
    </row>
    <row r="148" spans="3:9" x14ac:dyDescent="0.2">
      <c r="C148" s="13"/>
      <c r="D148" s="19">
        <f t="shared" si="1"/>
        <v>139</v>
      </c>
      <c r="E148" s="99"/>
      <c r="F148" s="103"/>
      <c r="G148" s="549"/>
      <c r="H148" s="102"/>
      <c r="I148" s="31"/>
    </row>
    <row r="149" spans="3:9" x14ac:dyDescent="0.2">
      <c r="C149" s="13"/>
      <c r="D149" s="19">
        <f t="shared" si="1"/>
        <v>140</v>
      </c>
      <c r="E149" s="99"/>
      <c r="F149" s="100"/>
      <c r="G149" s="101"/>
      <c r="H149" s="102"/>
      <c r="I149" s="31"/>
    </row>
    <row r="150" spans="3:9" ht="12.6" customHeight="1" thickBot="1" x14ac:dyDescent="0.25">
      <c r="C150" s="32"/>
      <c r="D150" s="33"/>
      <c r="E150" s="82"/>
      <c r="F150" s="56"/>
      <c r="G150" s="90"/>
      <c r="H150" s="699">
        <f>SUM(H10:H149)</f>
        <v>43.420308186542606</v>
      </c>
      <c r="I150" s="48"/>
    </row>
    <row r="151" spans="3:9" x14ac:dyDescent="0.2">
      <c r="H151" s="59"/>
    </row>
    <row r="170" spans="1:9" s="52" customFormat="1" ht="12.75" hidden="1" customHeight="1" x14ac:dyDescent="0.2">
      <c r="A170" s="6"/>
      <c r="B170" s="6"/>
      <c r="C170" s="6"/>
      <c r="D170" s="6"/>
      <c r="E170" s="79" t="s">
        <v>86</v>
      </c>
      <c r="G170" s="88"/>
      <c r="I170" s="6"/>
    </row>
    <row r="171" spans="1:9" s="52" customFormat="1" ht="12.75" hidden="1" customHeight="1" x14ac:dyDescent="0.2">
      <c r="A171" s="6"/>
      <c r="B171" s="6"/>
      <c r="C171" s="6"/>
      <c r="D171" s="6"/>
      <c r="E171" s="79" t="s">
        <v>84</v>
      </c>
      <c r="G171" s="88"/>
      <c r="I171" s="6"/>
    </row>
    <row r="172" spans="1:9" s="52" customFormat="1" ht="12.75" hidden="1" customHeight="1" x14ac:dyDescent="0.2">
      <c r="A172" s="6"/>
      <c r="B172" s="6"/>
      <c r="C172" s="6"/>
      <c r="D172" s="6"/>
      <c r="E172" s="79" t="s">
        <v>85</v>
      </c>
      <c r="G172" s="88"/>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dataValidations disablePrompts="1" count="2">
    <dataValidation type="list" allowBlank="1" showInputMessage="1" showErrorMessage="1" sqref="F64:F149">
      <formula1>$F$201:$F$204</formula1>
    </dataValidation>
    <dataValidation type="list" allowBlank="1" showInputMessage="1" showErrorMessage="1" sqref="F10:F63">
      <formula1>$F$242:$F$245</formula1>
    </dataValidation>
  </dataValidations>
  <pageMargins left="0.25" right="0.25" top="0.75" bottom="0.75" header="0.3" footer="0.3"/>
  <pageSetup paperSize="8"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222"/>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Queenscliffe (B)</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64"/>
      <c r="C4" s="764"/>
      <c r="D4" s="764"/>
      <c r="E4" s="764"/>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320"/>
      <c r="P5" s="10"/>
      <c r="Q5" s="10"/>
      <c r="R5" s="320"/>
      <c r="S5" s="320"/>
      <c r="T5" s="320"/>
      <c r="U5" s="10"/>
      <c r="V5" s="10"/>
      <c r="W5" s="12"/>
      <c r="Y5" s="22"/>
      <c r="Z5" s="22"/>
      <c r="AA5" s="22"/>
      <c r="AB5" s="22"/>
      <c r="AC5" s="22"/>
    </row>
    <row r="6" spans="1:29" x14ac:dyDescent="0.2">
      <c r="A6" s="6"/>
      <c r="B6" s="6"/>
      <c r="C6" s="13"/>
      <c r="D6" s="18"/>
      <c r="E6" s="46"/>
      <c r="H6" s="768" t="str">
        <f>VLOOKUP(' Instructions'!C9,' Instructions'!Q9:U15,2,FALSE)</f>
        <v>2017-18</v>
      </c>
      <c r="I6" s="769"/>
      <c r="J6" s="769"/>
      <c r="K6" s="769"/>
      <c r="L6" s="769"/>
      <c r="M6" s="769"/>
      <c r="N6" s="769"/>
      <c r="O6" s="770"/>
      <c r="P6" s="769"/>
      <c r="Q6" s="769"/>
      <c r="R6" s="770"/>
      <c r="S6" s="770"/>
      <c r="T6" s="770"/>
      <c r="U6" s="769"/>
      <c r="V6" s="771"/>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7"/>
      <c r="F8" s="772" t="s">
        <v>113</v>
      </c>
      <c r="G8" s="15"/>
      <c r="H8" s="773" t="s">
        <v>73</v>
      </c>
      <c r="I8" s="775" t="s">
        <v>74</v>
      </c>
      <c r="J8" s="775" t="s">
        <v>75</v>
      </c>
      <c r="K8" s="775"/>
      <c r="L8" s="775"/>
      <c r="M8" s="775"/>
      <c r="N8" s="775" t="s">
        <v>76</v>
      </c>
      <c r="O8" s="776"/>
      <c r="P8" s="775"/>
      <c r="Q8" s="773" t="s">
        <v>77</v>
      </c>
      <c r="R8" s="773" t="s">
        <v>336</v>
      </c>
      <c r="S8" s="773" t="s">
        <v>335</v>
      </c>
      <c r="T8" s="773" t="s">
        <v>337</v>
      </c>
      <c r="U8" s="773" t="s">
        <v>159</v>
      </c>
      <c r="V8" s="777" t="s">
        <v>78</v>
      </c>
      <c r="W8" s="20"/>
      <c r="X8" s="21"/>
      <c r="Y8" s="21"/>
      <c r="Z8" s="21"/>
    </row>
    <row r="9" spans="1:29" ht="30" customHeight="1" x14ac:dyDescent="0.2">
      <c r="A9" s="6"/>
      <c r="B9" s="6"/>
      <c r="C9" s="13"/>
      <c r="D9" s="19"/>
      <c r="E9" s="98" t="s">
        <v>92</v>
      </c>
      <c r="F9" s="772"/>
      <c r="G9" s="15"/>
      <c r="H9" s="774"/>
      <c r="I9" s="775"/>
      <c r="J9" s="235" t="s">
        <v>330</v>
      </c>
      <c r="K9" s="235" t="s">
        <v>341</v>
      </c>
      <c r="L9" s="235" t="s">
        <v>342</v>
      </c>
      <c r="M9" s="235" t="s">
        <v>331</v>
      </c>
      <c r="N9" s="235" t="s">
        <v>333</v>
      </c>
      <c r="O9" s="396" t="s">
        <v>332</v>
      </c>
      <c r="P9" s="235" t="s">
        <v>334</v>
      </c>
      <c r="Q9" s="774"/>
      <c r="R9" s="774"/>
      <c r="S9" s="774"/>
      <c r="T9" s="774"/>
      <c r="U9" s="774"/>
      <c r="V9" s="777"/>
      <c r="W9" s="17"/>
      <c r="X9" s="22"/>
      <c r="Y9" s="22"/>
      <c r="Z9" s="22"/>
    </row>
    <row r="10" spans="1:29" ht="15.75" customHeight="1" x14ac:dyDescent="0.2">
      <c r="A10" s="6"/>
      <c r="B10" s="6"/>
      <c r="C10" s="13"/>
      <c r="D10" s="19"/>
      <c r="E10" s="248"/>
      <c r="F10" s="150"/>
      <c r="G10" s="15"/>
      <c r="H10" s="150" t="s">
        <v>165</v>
      </c>
      <c r="I10" s="150" t="s">
        <v>165</v>
      </c>
      <c r="J10" s="150" t="s">
        <v>165</v>
      </c>
      <c r="K10" s="150" t="s">
        <v>165</v>
      </c>
      <c r="L10" s="150" t="s">
        <v>165</v>
      </c>
      <c r="M10" s="150" t="s">
        <v>165</v>
      </c>
      <c r="N10" s="150" t="s">
        <v>165</v>
      </c>
      <c r="O10" s="150" t="s">
        <v>165</v>
      </c>
      <c r="P10" s="150" t="s">
        <v>165</v>
      </c>
      <c r="Q10" s="150" t="s">
        <v>165</v>
      </c>
      <c r="R10" s="150" t="s">
        <v>165</v>
      </c>
      <c r="S10" s="150" t="s">
        <v>165</v>
      </c>
      <c r="T10" s="150" t="s">
        <v>165</v>
      </c>
      <c r="U10" s="150" t="s">
        <v>165</v>
      </c>
      <c r="V10" s="150"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7" t="str">
        <f>IF(OR('Services - NHC'!E10="",'Services - NHC'!E10="[Enter service]"),"",'Services - NHC'!E10)</f>
        <v>Aged Services</v>
      </c>
      <c r="F12" s="68" t="str">
        <f>IF(OR('Services - NHC'!F10="",'Services - NHC'!F10="[Select]"),"",'Services - NHC'!F10)</f>
        <v>External</v>
      </c>
      <c r="G12" s="15"/>
      <c r="H12" s="236"/>
      <c r="I12" s="236">
        <f>-GETPIVOTDATA("Sum of 2017/18",'[4]ESC User Fees'!$A$3,"Stat of Inc &amp; Exp (Available Cash)","User fees and charges","Strategic Objectives (KSAs)","SO1 - 01 - Aged and Disability Services - Inc")</f>
        <v>85500</v>
      </c>
      <c r="J12" s="236">
        <f>-GETPIVOTDATA("Sum of 2017/18",'[4]ESC Grants Op'!$A$3,"Stat of Inc &amp; Exp (Available Cash)","Grants - operating","Strategic Objectives (KSAs)","SO1 - 01 - Aged and Disability Services - Inc")</f>
        <v>417400</v>
      </c>
      <c r="K12" s="236"/>
      <c r="L12" s="236"/>
      <c r="M12" s="236"/>
      <c r="N12" s="236"/>
      <c r="O12" s="236"/>
      <c r="P12" s="236"/>
      <c r="Q12" s="236"/>
      <c r="R12" s="236"/>
      <c r="S12" s="236"/>
      <c r="T12" s="237"/>
      <c r="U12" s="238"/>
      <c r="V12" s="424">
        <f t="shared" ref="V12:V43" si="0">SUM(H12:U12)</f>
        <v>502900</v>
      </c>
      <c r="W12" s="17"/>
    </row>
    <row r="13" spans="1:29" ht="12" customHeight="1" x14ac:dyDescent="0.2">
      <c r="A13" s="6"/>
      <c r="B13" s="6"/>
      <c r="C13" s="13"/>
      <c r="D13" s="19">
        <f>D12+1</f>
        <v>2</v>
      </c>
      <c r="E13" s="67" t="str">
        <f>IF(OR('Services - NHC'!E11="",'Services - NHC'!E11="[Enter service]"),"",'Services - NHC'!E11)</f>
        <v>Active Communities</v>
      </c>
      <c r="F13" s="68" t="str">
        <f>IF(OR('Services - NHC'!F11="",'Services - NHC'!F11="[Select]"),"",'Services - NHC'!F11)</f>
        <v>External</v>
      </c>
      <c r="G13" s="15"/>
      <c r="H13" s="239"/>
      <c r="I13" s="239"/>
      <c r="J13" s="239">
        <f>-GETPIVOTDATA("Sum of 2017/18",'[4]ESC Grants Op'!$A$3,"Stat of Inc &amp; Exp (Available Cash)","Grants - operating","Strategic Objectives (KSAs)","SO1 - 02 - Active Communities - Inc")</f>
        <v>2600</v>
      </c>
      <c r="K13" s="239"/>
      <c r="L13" s="239"/>
      <c r="M13" s="239"/>
      <c r="N13" s="239"/>
      <c r="O13" s="239"/>
      <c r="P13" s="239"/>
      <c r="Q13" s="239"/>
      <c r="R13" s="239"/>
      <c r="S13" s="239"/>
      <c r="T13" s="240"/>
      <c r="U13" s="241"/>
      <c r="V13" s="425">
        <f t="shared" si="0"/>
        <v>2600</v>
      </c>
      <c r="W13" s="17"/>
    </row>
    <row r="14" spans="1:29" ht="12" customHeight="1" x14ac:dyDescent="0.2">
      <c r="A14" s="6"/>
      <c r="B14" s="6"/>
      <c r="C14" s="13"/>
      <c r="D14" s="19">
        <f t="shared" ref="D14:D151" si="1">D13+1</f>
        <v>3</v>
      </c>
      <c r="E14" s="67" t="str">
        <f>IF(OR('Services - NHC'!E12="",'Services - NHC'!E12="[Enter service]"),"",'Services - NHC'!E12)</f>
        <v>Community Events</v>
      </c>
      <c r="F14" s="68" t="str">
        <f>IF(OR('Services - NHC'!F12="",'Services - NHC'!F12="[Select]"),"",'Services - NHC'!F12)</f>
        <v>External</v>
      </c>
      <c r="G14" s="15"/>
      <c r="H14" s="239"/>
      <c r="I14" s="239"/>
      <c r="J14" s="239"/>
      <c r="K14" s="239"/>
      <c r="L14" s="239"/>
      <c r="M14" s="239"/>
      <c r="N14" s="239"/>
      <c r="O14" s="239"/>
      <c r="P14" s="239"/>
      <c r="Q14" s="239"/>
      <c r="R14" s="239"/>
      <c r="S14" s="239"/>
      <c r="T14" s="240"/>
      <c r="U14" s="241"/>
      <c r="V14" s="425">
        <f t="shared" si="0"/>
        <v>0</v>
      </c>
      <c r="W14" s="17"/>
    </row>
    <row r="15" spans="1:29" ht="12" customHeight="1" x14ac:dyDescent="0.2">
      <c r="A15" s="6"/>
      <c r="B15" s="6"/>
      <c r="C15" s="13"/>
      <c r="D15" s="19">
        <f t="shared" si="1"/>
        <v>4</v>
      </c>
      <c r="E15" s="67" t="str">
        <f>IF(OR('Services - NHC'!E13="",'Services - NHC'!E13="[Enter service]"),"",'Services - NHC'!E13)</f>
        <v>Maternal and Child Health (MCH)</v>
      </c>
      <c r="F15" s="68" t="str">
        <f>IF(OR('Services - NHC'!F13="",'Services - NHC'!F13="[Select]"),"",'Services - NHC'!F13)</f>
        <v>External</v>
      </c>
      <c r="G15" s="15"/>
      <c r="H15" s="239"/>
      <c r="I15" s="239"/>
      <c r="J15" s="239">
        <f>-GETPIVOTDATA("Sum of 2017/18",'[4]ESC Grants Op'!$A$3,"Stat of Inc &amp; Exp (Available Cash)","Grants - operating","Strategic Objectives (KSAs)","SO1 - 04 - Maternal and Child Health (MCH) Inc")</f>
        <v>41200</v>
      </c>
      <c r="K15" s="239"/>
      <c r="L15" s="239"/>
      <c r="M15" s="239"/>
      <c r="N15" s="239"/>
      <c r="O15" s="239"/>
      <c r="P15" s="239"/>
      <c r="Q15" s="239"/>
      <c r="R15" s="239"/>
      <c r="S15" s="239"/>
      <c r="T15" s="240"/>
      <c r="U15" s="241"/>
      <c r="V15" s="425">
        <f t="shared" si="0"/>
        <v>41200</v>
      </c>
      <c r="W15" s="17"/>
    </row>
    <row r="16" spans="1:29" ht="12" customHeight="1" x14ac:dyDescent="0.2">
      <c r="A16" s="6"/>
      <c r="B16" s="6"/>
      <c r="C16" s="13"/>
      <c r="D16" s="19">
        <f t="shared" si="1"/>
        <v>5</v>
      </c>
      <c r="E16" s="67" t="str">
        <f>IF(OR('Services - NHC'!E14="",'Services - NHC'!E14="[Enter service]"),"",'Services - NHC'!E14)</f>
        <v>Kindergarten</v>
      </c>
      <c r="F16" s="68" t="str">
        <f>IF(OR('Services - NHC'!F14="",'Services - NHC'!F14="[Select]"),"",'Services - NHC'!F14)</f>
        <v>External</v>
      </c>
      <c r="G16" s="15"/>
      <c r="H16" s="239"/>
      <c r="I16" s="239"/>
      <c r="J16" s="239"/>
      <c r="K16" s="239"/>
      <c r="L16" s="239"/>
      <c r="M16" s="239"/>
      <c r="N16" s="239"/>
      <c r="O16" s="239"/>
      <c r="P16" s="239"/>
      <c r="Q16" s="239"/>
      <c r="R16" s="239"/>
      <c r="S16" s="239"/>
      <c r="T16" s="240"/>
      <c r="U16" s="241"/>
      <c r="V16" s="425">
        <f t="shared" si="0"/>
        <v>0</v>
      </c>
      <c r="W16" s="17"/>
    </row>
    <row r="17" spans="1:23" ht="12" customHeight="1" x14ac:dyDescent="0.2">
      <c r="A17" s="6"/>
      <c r="B17" s="6"/>
      <c r="C17" s="13"/>
      <c r="D17" s="19">
        <f t="shared" si="1"/>
        <v>6</v>
      </c>
      <c r="E17" s="67" t="str">
        <f>IF(OR('Services - NHC'!E15="",'Services - NHC'!E15="[Enter service]"),"",'Services - NHC'!E15)</f>
        <v>Environmental Health</v>
      </c>
      <c r="F17" s="68" t="str">
        <f>IF(OR('Services - NHC'!F15="",'Services - NHC'!F15="[Select]"),"",'Services - NHC'!F15)</f>
        <v>External</v>
      </c>
      <c r="G17" s="15"/>
      <c r="H17" s="239"/>
      <c r="I17" s="239">
        <f>-GETPIVOTDATA("Sum of 2017/18",'[4]ESC User Fees'!$A$3,"Stat of Inc &amp; Exp (Available Cash)","User fees and charges","Strategic Objectives (KSAs)","SO1 - 06 - Environmental Health Inc")</f>
        <v>36000</v>
      </c>
      <c r="J17" s="239"/>
      <c r="K17" s="239"/>
      <c r="L17" s="239"/>
      <c r="M17" s="239"/>
      <c r="N17" s="239"/>
      <c r="O17" s="239"/>
      <c r="P17" s="239"/>
      <c r="Q17" s="239"/>
      <c r="R17" s="239"/>
      <c r="S17" s="239"/>
      <c r="T17" s="240"/>
      <c r="U17" s="241"/>
      <c r="V17" s="425">
        <f t="shared" si="0"/>
        <v>36000</v>
      </c>
      <c r="W17" s="17"/>
    </row>
    <row r="18" spans="1:23" ht="12" customHeight="1" x14ac:dyDescent="0.2">
      <c r="A18" s="6"/>
      <c r="B18" s="6"/>
      <c r="C18" s="13"/>
      <c r="D18" s="19">
        <f t="shared" si="1"/>
        <v>7</v>
      </c>
      <c r="E18" s="67" t="str">
        <f>IF(OR('Services - NHC'!E16="",'Services - NHC'!E16="[Enter service]"),"",'Services - NHC'!E16)</f>
        <v>Asset Management and Appearance of Public Places</v>
      </c>
      <c r="F18" s="68" t="str">
        <f>IF(OR('Services - NHC'!F16="",'Services - NHC'!F16="[Select]"),"",'Services - NHC'!F16)</f>
        <v>External</v>
      </c>
      <c r="G18" s="15"/>
      <c r="H18" s="239"/>
      <c r="I18" s="239">
        <f>-GETPIVOTDATA("Sum of 2017/18",'[4]ESC User Fees'!$A$3,"Stat of Inc &amp; Exp (Available Cash)","User fees and charges","Strategic Objectives (KSAs)","SO1 - 07 - Asset Management and Appearance of Public Places - Inc")</f>
        <v>5000</v>
      </c>
      <c r="J18" s="239">
        <f>-GETPIVOTDATA("Sum of 2017/18",'[4]ESC Grants Op'!$A$3,"Stat of Inc &amp; Exp (Available Cash)","Grants - operating","Strategic Objectives (KSAs)","SO1 - 07 - Asset Management and Appearance of Public Places - Inc")</f>
        <v>54200</v>
      </c>
      <c r="K18" s="239"/>
      <c r="L18" s="239"/>
      <c r="M18" s="239"/>
      <c r="N18" s="239"/>
      <c r="O18" s="239"/>
      <c r="P18" s="239"/>
      <c r="Q18" s="239"/>
      <c r="R18" s="239"/>
      <c r="S18" s="239"/>
      <c r="T18" s="240"/>
      <c r="U18" s="241"/>
      <c r="V18" s="425">
        <f t="shared" si="0"/>
        <v>59200</v>
      </c>
      <c r="W18" s="17"/>
    </row>
    <row r="19" spans="1:23" ht="12" customHeight="1" x14ac:dyDescent="0.2">
      <c r="A19" s="6"/>
      <c r="B19" s="6"/>
      <c r="C19" s="13"/>
      <c r="D19" s="19">
        <f t="shared" si="1"/>
        <v>8</v>
      </c>
      <c r="E19" s="67" t="str">
        <f>IF(OR('Services - NHC'!E17="",'Services - NHC'!E17="[Enter service]"),"",'Services - NHC'!E17)</f>
        <v>Local Laws, Safety and Amenity</v>
      </c>
      <c r="F19" s="68" t="str">
        <f>IF(OR('Services - NHC'!F17="",'Services - NHC'!F17="[Select]"),"",'Services - NHC'!F17)</f>
        <v>External</v>
      </c>
      <c r="G19" s="15"/>
      <c r="H19" s="239">
        <f>-GETPIVOTDATA("Sum of 2017/18",'[4]ESC Stat Fees'!$A$3,"Stat of Inc &amp; Exp (Available Cash)","Statutory fees and fines","Strategic Objectives (KSAs)","SO1 - 08 - Local Laws, Safety and Amenity - Inc")</f>
        <v>29000</v>
      </c>
      <c r="I19" s="239">
        <f>-GETPIVOTDATA("Sum of 2017/18",'[4]ESC User Fees'!$A$3,"Stat of Inc &amp; Exp (Available Cash)","User fees and charges","Strategic Objectives (KSAs)","SO1 - 08 - Local Laws, Safety and Amenity - Inc")</f>
        <v>21000</v>
      </c>
      <c r="J19" s="239">
        <f>-GETPIVOTDATA("Sum of 2017/18",'[4]ESC Grants Op'!$A$3,"Stat of Inc &amp; Exp (Available Cash)","Grants - operating","Strategic Objectives (KSAs)","SO1 - 08 - Local Laws, Safety and Amenity - Inc")</f>
        <v>16800</v>
      </c>
      <c r="K19" s="239"/>
      <c r="L19" s="239"/>
      <c r="M19" s="239"/>
      <c r="N19" s="239"/>
      <c r="O19" s="239"/>
      <c r="P19" s="239"/>
      <c r="Q19" s="239"/>
      <c r="R19" s="239"/>
      <c r="S19" s="239"/>
      <c r="T19" s="240"/>
      <c r="U19" s="241"/>
      <c r="V19" s="425">
        <f t="shared" si="0"/>
        <v>66800</v>
      </c>
      <c r="W19" s="17"/>
    </row>
    <row r="20" spans="1:23" ht="12" customHeight="1" x14ac:dyDescent="0.2">
      <c r="A20" s="6"/>
      <c r="B20" s="6"/>
      <c r="C20" s="13"/>
      <c r="D20" s="19">
        <f t="shared" si="1"/>
        <v>9</v>
      </c>
      <c r="E20" s="67" t="str">
        <f>IF(OR('Services - NHC'!E18="",'Services - NHC'!E18="[Enter service]"),"",'Services - NHC'!E18)</f>
        <v>Street Lighting</v>
      </c>
      <c r="F20" s="68" t="str">
        <f>IF(OR('Services - NHC'!F18="",'Services - NHC'!F18="[Select]"),"",'Services - NHC'!F18)</f>
        <v>External</v>
      </c>
      <c r="G20" s="15"/>
      <c r="H20" s="239"/>
      <c r="I20" s="239"/>
      <c r="J20" s="239"/>
      <c r="K20" s="239"/>
      <c r="L20" s="239"/>
      <c r="M20" s="239"/>
      <c r="N20" s="239"/>
      <c r="O20" s="239"/>
      <c r="P20" s="239"/>
      <c r="Q20" s="239"/>
      <c r="R20" s="239"/>
      <c r="S20" s="239"/>
      <c r="T20" s="240"/>
      <c r="U20" s="241"/>
      <c r="V20" s="425">
        <f t="shared" si="0"/>
        <v>0</v>
      </c>
      <c r="W20" s="17"/>
    </row>
    <row r="21" spans="1:23" ht="12" customHeight="1" x14ac:dyDescent="0.2">
      <c r="A21" s="6"/>
      <c r="B21" s="6"/>
      <c r="C21" s="13"/>
      <c r="D21" s="19">
        <f t="shared" si="1"/>
        <v>10</v>
      </c>
      <c r="E21" s="67" t="str">
        <f>IF(OR('Services - NHC'!E19="",'Services - NHC'!E19="[Enter service]"),"",'Services - NHC'!E19)</f>
        <v>Powerline Safety</v>
      </c>
      <c r="F21" s="68" t="str">
        <f>IF(OR('Services - NHC'!F19="",'Services - NHC'!F19="[Select]"),"",'Services - NHC'!F19)</f>
        <v>External</v>
      </c>
      <c r="G21" s="15"/>
      <c r="H21" s="239"/>
      <c r="I21" s="239"/>
      <c r="J21" s="239"/>
      <c r="K21" s="239"/>
      <c r="L21" s="239"/>
      <c r="M21" s="239"/>
      <c r="N21" s="239"/>
      <c r="O21" s="239"/>
      <c r="P21" s="239"/>
      <c r="Q21" s="239"/>
      <c r="R21" s="239"/>
      <c r="S21" s="239"/>
      <c r="T21" s="240"/>
      <c r="U21" s="241"/>
      <c r="V21" s="425">
        <f t="shared" si="0"/>
        <v>0</v>
      </c>
      <c r="W21" s="17"/>
    </row>
    <row r="22" spans="1:23" ht="12" customHeight="1" x14ac:dyDescent="0.2">
      <c r="A22" s="6"/>
      <c r="B22" s="6"/>
      <c r="C22" s="13"/>
      <c r="D22" s="19">
        <f t="shared" si="1"/>
        <v>11</v>
      </c>
      <c r="E22" s="67" t="str">
        <f>IF(OR('Services - NHC'!E20="",'Services - NHC'!E20="[Enter service]"),"",'Services - NHC'!E20)</f>
        <v>Library</v>
      </c>
      <c r="F22" s="68" t="str">
        <f>IF(OR('Services - NHC'!F20="",'Services - NHC'!F20="[Select]"),"",'Services - NHC'!F20)</f>
        <v>External</v>
      </c>
      <c r="G22" s="15"/>
      <c r="H22" s="239"/>
      <c r="I22" s="239"/>
      <c r="J22" s="239"/>
      <c r="K22" s="239"/>
      <c r="L22" s="239"/>
      <c r="M22" s="239"/>
      <c r="N22" s="239"/>
      <c r="O22" s="239"/>
      <c r="P22" s="239"/>
      <c r="Q22" s="239"/>
      <c r="R22" s="239"/>
      <c r="S22" s="239"/>
      <c r="T22" s="240"/>
      <c r="U22" s="241"/>
      <c r="V22" s="425">
        <f t="shared" si="0"/>
        <v>0</v>
      </c>
      <c r="W22" s="17"/>
    </row>
    <row r="23" spans="1:23" ht="12" customHeight="1" x14ac:dyDescent="0.2">
      <c r="A23" s="6"/>
      <c r="B23" s="6"/>
      <c r="C23" s="13"/>
      <c r="D23" s="19">
        <f t="shared" si="1"/>
        <v>12</v>
      </c>
      <c r="E23" s="67" t="str">
        <f>IF(OR('Services - NHC'!E21="",'Services - NHC'!E21="[Enter service]"),"",'Services - NHC'!E21)</f>
        <v>Recreation, Arts and Culture</v>
      </c>
      <c r="F23" s="68" t="str">
        <f>IF(OR('Services - NHC'!F21="",'Services - NHC'!F21="[Select]"),"",'Services - NHC'!F21)</f>
        <v>External</v>
      </c>
      <c r="G23" s="15"/>
      <c r="H23" s="239"/>
      <c r="I23" s="239"/>
      <c r="J23" s="239"/>
      <c r="K23" s="239"/>
      <c r="L23" s="239"/>
      <c r="M23" s="239"/>
      <c r="N23" s="239"/>
      <c r="O23" s="239"/>
      <c r="P23" s="239"/>
      <c r="Q23" s="239"/>
      <c r="R23" s="239"/>
      <c r="S23" s="239"/>
      <c r="T23" s="240"/>
      <c r="U23" s="241"/>
      <c r="V23" s="425">
        <f t="shared" si="0"/>
        <v>0</v>
      </c>
      <c r="W23" s="17"/>
    </row>
    <row r="24" spans="1:23" ht="12" customHeight="1" x14ac:dyDescent="0.2">
      <c r="A24" s="6"/>
      <c r="B24" s="6"/>
      <c r="C24" s="13"/>
      <c r="D24" s="19">
        <f t="shared" si="1"/>
        <v>13</v>
      </c>
      <c r="E24" s="67" t="str">
        <f>IF(OR('Services - NHC'!E22="",'Services - NHC'!E22="[Enter service]"),"",'Services - NHC'!E22)</f>
        <v>Environmental Sustainability</v>
      </c>
      <c r="F24" s="68" t="str">
        <f>IF(OR('Services - NHC'!F22="",'Services - NHC'!F22="[Select]"),"",'Services - NHC'!F22)</f>
        <v>Mixed</v>
      </c>
      <c r="G24" s="15"/>
      <c r="H24" s="239"/>
      <c r="I24" s="239"/>
      <c r="J24" s="239">
        <f>-GETPIVOTDATA("Sum of 2017/18",'[4]ESC Grants Op'!$A$3,"Stat of Inc &amp; Exp (Available Cash)","Grants - operating","Strategic Objectives (KSAs)","SO2 - 01 - Environmental Sustainability - Inc")-K24</f>
        <v>0</v>
      </c>
      <c r="K24" s="239">
        <f>-'[5]5.1 Grants - operating'!$D$31</f>
        <v>3000</v>
      </c>
      <c r="L24" s="239"/>
      <c r="M24" s="239"/>
      <c r="N24" s="239"/>
      <c r="O24" s="239"/>
      <c r="P24" s="239"/>
      <c r="Q24" s="239"/>
      <c r="R24" s="239"/>
      <c r="S24" s="239"/>
      <c r="T24" s="240"/>
      <c r="U24" s="241"/>
      <c r="V24" s="425">
        <f t="shared" si="0"/>
        <v>3000</v>
      </c>
      <c r="W24" s="17"/>
    </row>
    <row r="25" spans="1:23" ht="12" customHeight="1" x14ac:dyDescent="0.2">
      <c r="A25" s="6"/>
      <c r="B25" s="6"/>
      <c r="C25" s="13"/>
      <c r="D25" s="19">
        <f t="shared" si="1"/>
        <v>14</v>
      </c>
      <c r="E25" s="67" t="str">
        <f>IF(OR('Services - NHC'!E23="",'Services - NHC'!E23="[Enter service]"),"",'Services - NHC'!E23)</f>
        <v>Coastal Protection</v>
      </c>
      <c r="F25" s="68" t="str">
        <f>IF(OR('Services - NHC'!F23="",'Services - NHC'!F23="[Select]"),"",'Services - NHC'!F23)</f>
        <v>External</v>
      </c>
      <c r="G25" s="15"/>
      <c r="H25" s="239"/>
      <c r="I25" s="239"/>
      <c r="J25" s="239"/>
      <c r="K25" s="239"/>
      <c r="L25" s="239"/>
      <c r="M25" s="239"/>
      <c r="N25" s="239"/>
      <c r="O25" s="239"/>
      <c r="P25" s="239"/>
      <c r="Q25" s="239">
        <f>-GETPIVOTDATA("Sum of 2017/18",'[4]ESC Other Inc'!$A$3,"Stat of Inc &amp; Exp (Available Cash)","Other income","Strategic Objectives (KSAs)","SO2 - 02 - Coastal Protection - Inc")</f>
        <v>98400</v>
      </c>
      <c r="R25" s="239"/>
      <c r="S25" s="239"/>
      <c r="T25" s="240"/>
      <c r="U25" s="241"/>
      <c r="V25" s="425">
        <f t="shared" si="0"/>
        <v>98400</v>
      </c>
      <c r="W25" s="17"/>
    </row>
    <row r="26" spans="1:23" ht="12" customHeight="1" x14ac:dyDescent="0.2">
      <c r="A26" s="6"/>
      <c r="B26" s="6"/>
      <c r="C26" s="13"/>
      <c r="D26" s="19">
        <f t="shared" si="1"/>
        <v>15</v>
      </c>
      <c r="E26" s="67" t="str">
        <f>IF(OR('Services - NHC'!E24="",'Services - NHC'!E24="[Enter service]"),"",'Services - NHC'!E24)</f>
        <v>Waste Management and Recycling</v>
      </c>
      <c r="F26" s="68" t="str">
        <f>IF(OR('Services - NHC'!F24="",'Services - NHC'!F24="[Select]"),"",'Services - NHC'!F24)</f>
        <v>External</v>
      </c>
      <c r="G26" s="15"/>
      <c r="H26" s="239"/>
      <c r="I26" s="239">
        <f>-GETPIVOTDATA("Sum of 2017/18",'[4]ESC User Fees'!$A$3,"Stat of Inc &amp; Exp (Available Cash)","User fees and charges","Strategic Objectives (KSAs)","SO2 - 03 - Waste Management and Recycling - Inc")</f>
        <v>13300</v>
      </c>
      <c r="J26" s="239">
        <f>-GETPIVOTDATA("Sum of 2017/18",'[4]ESC Grants Op'!$A$3,"Stat of Inc &amp; Exp (Available Cash)","Grants - operating","Strategic Objectives (KSAs)","SO2 - 03 - Waste Management and Recycling - Inc")</f>
        <v>12700</v>
      </c>
      <c r="K26" s="239"/>
      <c r="L26" s="239"/>
      <c r="M26" s="239"/>
      <c r="N26" s="239"/>
      <c r="O26" s="239"/>
      <c r="P26" s="239"/>
      <c r="Q26" s="239"/>
      <c r="R26" s="239"/>
      <c r="S26" s="239"/>
      <c r="T26" s="240"/>
      <c r="U26" s="241"/>
      <c r="V26" s="425">
        <f t="shared" si="0"/>
        <v>26000</v>
      </c>
      <c r="W26" s="17"/>
    </row>
    <row r="27" spans="1:23" ht="12" customHeight="1" x14ac:dyDescent="0.2">
      <c r="A27" s="6"/>
      <c r="B27" s="6"/>
      <c r="C27" s="13"/>
      <c r="D27" s="19">
        <f t="shared" si="1"/>
        <v>16</v>
      </c>
      <c r="E27" s="67" t="str">
        <f>IF(OR('Services - NHC'!E25="",'Services - NHC'!E25="[Enter service]"),"",'Services - NHC'!E25)</f>
        <v>Tourist Parks and Boat Ramp Services</v>
      </c>
      <c r="F27" s="68" t="str">
        <f>IF(OR('Services - NHC'!F25="",'Services - NHC'!F25="[Select]"),"",'Services - NHC'!F25)</f>
        <v>External</v>
      </c>
      <c r="G27" s="15"/>
      <c r="H27" s="239"/>
      <c r="I27" s="239">
        <f>-GETPIVOTDATA("Sum of 2017/18",'[4]ESC User Fees'!$A$3,"Stat of Inc &amp; Exp (Available Cash)","User fees and charges","Strategic Objectives (KSAs)","SO3 - 01 - Tourist Parks and Boat Ramp Services - Inc")</f>
        <v>1733757.0621519531</v>
      </c>
      <c r="J27" s="239"/>
      <c r="K27" s="239"/>
      <c r="L27" s="239"/>
      <c r="M27" s="239"/>
      <c r="N27" s="239"/>
      <c r="O27" s="239"/>
      <c r="P27" s="239"/>
      <c r="Q27" s="239"/>
      <c r="R27" s="239"/>
      <c r="S27" s="239"/>
      <c r="T27" s="240"/>
      <c r="U27" s="241"/>
      <c r="V27" s="425">
        <f t="shared" si="0"/>
        <v>1733757.0621519531</v>
      </c>
      <c r="W27" s="17"/>
    </row>
    <row r="28" spans="1:23" ht="12" customHeight="1" x14ac:dyDescent="0.2">
      <c r="A28" s="6"/>
      <c r="B28" s="6"/>
      <c r="C28" s="13"/>
      <c r="D28" s="19">
        <f t="shared" si="1"/>
        <v>17</v>
      </c>
      <c r="E28" s="67" t="str">
        <f>IF(OR('Services - NHC'!E26="",'Services - NHC'!E26="[Enter service]"),"",'Services - NHC'!E26)</f>
        <v>Visitor Information Centre (VIC)</v>
      </c>
      <c r="F28" s="68" t="str">
        <f>IF(OR('Services - NHC'!F26="",'Services - NHC'!F26="[Select]"),"",'Services - NHC'!F26)</f>
        <v>External</v>
      </c>
      <c r="G28" s="15"/>
      <c r="H28" s="239"/>
      <c r="I28" s="239">
        <f>-GETPIVOTDATA("Sum of 2017/18",'[4]ESC User Fees'!$A$3,"Stat of Inc &amp; Exp (Available Cash)","User fees and charges","Strategic Objectives (KSAs)","SO3 - 02 - Visitor Information Centre (VIC) - Inc")</f>
        <v>12000</v>
      </c>
      <c r="J28" s="239"/>
      <c r="K28" s="239"/>
      <c r="L28" s="239"/>
      <c r="M28" s="239"/>
      <c r="N28" s="239"/>
      <c r="O28" s="239"/>
      <c r="P28" s="239"/>
      <c r="Q28" s="239"/>
      <c r="R28" s="239"/>
      <c r="S28" s="239"/>
      <c r="T28" s="240"/>
      <c r="U28" s="241"/>
      <c r="V28" s="425">
        <f t="shared" si="0"/>
        <v>12000</v>
      </c>
      <c r="W28" s="17"/>
    </row>
    <row r="29" spans="1:23" ht="12" customHeight="1" x14ac:dyDescent="0.2">
      <c r="A29" s="6"/>
      <c r="B29" s="6"/>
      <c r="C29" s="13"/>
      <c r="D29" s="19">
        <f t="shared" si="1"/>
        <v>18</v>
      </c>
      <c r="E29" s="67" t="str">
        <f>IF(OR('Services - NHC'!E27="",'Services - NHC'!E27="[Enter service]"),"",'Services - NHC'!E27)</f>
        <v>Tourism and Economic Development</v>
      </c>
      <c r="F29" s="68" t="str">
        <f>IF(OR('Services - NHC'!F27="",'Services - NHC'!F27="[Select]"),"",'Services - NHC'!F27)</f>
        <v>Mixed</v>
      </c>
      <c r="G29" s="15"/>
      <c r="H29" s="239"/>
      <c r="I29" s="239">
        <f>-GETPIVOTDATA("Sum of 2017/18",'[4]ESC User Fees'!$A$3,"Stat of Inc &amp; Exp (Available Cash)","User fees and charges","Strategic Objectives (KSAs)","SO3 - 03 - Tourism and Economic Development - Inc")</f>
        <v>500</v>
      </c>
      <c r="J29" s="239"/>
      <c r="K29" s="239"/>
      <c r="L29" s="239"/>
      <c r="M29" s="239"/>
      <c r="N29" s="239">
        <f>-GETPIVOTDATA("Sum of 2017/18",'[4]ESC Contrib Op'!$A$3,"Stat of Inc &amp; Exp (Available Cash)","Contributions - monetary - operating","Strategic Objectives (KSAs)","SO3 - 03 - Tourism and Economic Development - Inc")</f>
        <v>12500</v>
      </c>
      <c r="O29" s="239"/>
      <c r="P29" s="239"/>
      <c r="Q29" s="239"/>
      <c r="R29" s="239"/>
      <c r="S29" s="239"/>
      <c r="T29" s="240"/>
      <c r="U29" s="241"/>
      <c r="V29" s="425">
        <f t="shared" si="0"/>
        <v>13000</v>
      </c>
      <c r="W29" s="17"/>
    </row>
    <row r="30" spans="1:23" ht="12" customHeight="1" x14ac:dyDescent="0.2">
      <c r="A30" s="6"/>
      <c r="B30" s="6"/>
      <c r="C30" s="13"/>
      <c r="D30" s="19">
        <f t="shared" si="1"/>
        <v>19</v>
      </c>
      <c r="E30" s="67" t="str">
        <f>IF(OR('Services - NHC'!E28="",'Services - NHC'!E28="[Enter service]"),"",'Services - NHC'!E28)</f>
        <v>Design and Project Management</v>
      </c>
      <c r="F30" s="68" t="str">
        <f>IF(OR('Services - NHC'!F28="",'Services - NHC'!F28="[Select]"),"",'Services - NHC'!F28)</f>
        <v>Mixed</v>
      </c>
      <c r="G30" s="15"/>
      <c r="H30" s="239"/>
      <c r="I30" s="239"/>
      <c r="J30" s="239"/>
      <c r="K30" s="239"/>
      <c r="L30" s="239"/>
      <c r="M30" s="239"/>
      <c r="N30" s="239"/>
      <c r="O30" s="239"/>
      <c r="P30" s="239"/>
      <c r="Q30" s="239"/>
      <c r="R30" s="239"/>
      <c r="S30" s="239"/>
      <c r="T30" s="240"/>
      <c r="U30" s="241"/>
      <c r="V30" s="425">
        <f t="shared" si="0"/>
        <v>0</v>
      </c>
      <c r="W30" s="17"/>
    </row>
    <row r="31" spans="1:23" ht="12" customHeight="1" x14ac:dyDescent="0.2">
      <c r="A31" s="6"/>
      <c r="B31" s="6"/>
      <c r="C31" s="13"/>
      <c r="D31" s="19">
        <f t="shared" si="1"/>
        <v>20</v>
      </c>
      <c r="E31" s="67" t="str">
        <f>IF(OR('Services - NHC'!E29="",'Services - NHC'!E29="[Enter service]"),"",'Services - NHC'!E29)</f>
        <v>Land Use Planning</v>
      </c>
      <c r="F31" s="68" t="str">
        <f>IF(OR('Services - NHC'!F29="",'Services - NHC'!F29="[Select]"),"",'Services - NHC'!F29)</f>
        <v>External</v>
      </c>
      <c r="G31" s="15"/>
      <c r="H31" s="239">
        <f>-GETPIVOTDATA("Sum of 2017/18",'[4]ESC Stat Fees'!$A$3,"Stat of Inc &amp; Exp (Available Cash)","Statutory fees and fines","Strategic Objectives (KSAs)","SO4 - 02 - Land Use Planning - Inc")</f>
        <v>70000</v>
      </c>
      <c r="I31" s="239"/>
      <c r="J31" s="239"/>
      <c r="K31" s="239"/>
      <c r="L31" s="239"/>
      <c r="M31" s="239"/>
      <c r="N31" s="239"/>
      <c r="O31" s="239"/>
      <c r="P31" s="239"/>
      <c r="Q31" s="239"/>
      <c r="R31" s="239"/>
      <c r="S31" s="239"/>
      <c r="T31" s="240"/>
      <c r="U31" s="241"/>
      <c r="V31" s="425">
        <f t="shared" si="0"/>
        <v>70000</v>
      </c>
      <c r="W31" s="17"/>
    </row>
    <row r="32" spans="1:23" ht="12" customHeight="1" x14ac:dyDescent="0.2">
      <c r="A32" s="6"/>
      <c r="B32" s="6"/>
      <c r="C32" s="13"/>
      <c r="D32" s="19">
        <f t="shared" si="1"/>
        <v>21</v>
      </c>
      <c r="E32" s="67" t="str">
        <f>IF(OR('Services - NHC'!E30="",'Services - NHC'!E30="[Enter service]"),"",'Services - NHC'!E30)</f>
        <v>Heritage Conservation Advice</v>
      </c>
      <c r="F32" s="68" t="str">
        <f>IF(OR('Services - NHC'!F30="",'Services - NHC'!F30="[Select]"),"",'Services - NHC'!F30)</f>
        <v>External</v>
      </c>
      <c r="G32" s="15"/>
      <c r="H32" s="239"/>
      <c r="I32" s="239"/>
      <c r="J32" s="239"/>
      <c r="K32" s="239"/>
      <c r="L32" s="239"/>
      <c r="M32" s="239"/>
      <c r="N32" s="239"/>
      <c r="O32" s="239"/>
      <c r="P32" s="239"/>
      <c r="Q32" s="239"/>
      <c r="R32" s="239"/>
      <c r="S32" s="239"/>
      <c r="T32" s="240"/>
      <c r="U32" s="241"/>
      <c r="V32" s="425">
        <f t="shared" si="0"/>
        <v>0</v>
      </c>
      <c r="W32" s="17"/>
    </row>
    <row r="33" spans="1:23" ht="12" customHeight="1" x14ac:dyDescent="0.2">
      <c r="A33" s="6"/>
      <c r="B33" s="6"/>
      <c r="C33" s="13"/>
      <c r="D33" s="19">
        <f t="shared" si="1"/>
        <v>22</v>
      </c>
      <c r="E33" s="67" t="str">
        <f>IF(OR('Services - NHC'!E31="",'Services - NHC'!E31="[Enter service]"),"",'Services - NHC'!E31)</f>
        <v>Building Control</v>
      </c>
      <c r="F33" s="68" t="str">
        <f>IF(OR('Services - NHC'!F31="",'Services - NHC'!F31="[Select]"),"",'Services - NHC'!F31)</f>
        <v>External</v>
      </c>
      <c r="G33" s="15"/>
      <c r="H33" s="239"/>
      <c r="I33" s="239">
        <f>-GETPIVOTDATA("Sum of 2017/18",'[4]ESC User Fees'!$A$3,"Stat of Inc &amp; Exp (Available Cash)","User fees and charges","Strategic Objectives (KSAs)","SO4 - 04 - Building Control - Inc")</f>
        <v>15000</v>
      </c>
      <c r="J33" s="239"/>
      <c r="K33" s="239"/>
      <c r="L33" s="239"/>
      <c r="M33" s="239"/>
      <c r="N33" s="239"/>
      <c r="O33" s="239"/>
      <c r="P33" s="239"/>
      <c r="Q33" s="239"/>
      <c r="R33" s="239"/>
      <c r="S33" s="239"/>
      <c r="T33" s="240"/>
      <c r="U33" s="241"/>
      <c r="V33" s="425">
        <f t="shared" si="0"/>
        <v>15000</v>
      </c>
      <c r="W33" s="17"/>
    </row>
    <row r="34" spans="1:23" ht="12" customHeight="1" x14ac:dyDescent="0.2">
      <c r="A34" s="6"/>
      <c r="B34" s="6"/>
      <c r="C34" s="13"/>
      <c r="D34" s="19">
        <f t="shared" si="1"/>
        <v>23</v>
      </c>
      <c r="E34" s="67" t="str">
        <f>IF(OR('Services - NHC'!E32="",'Services - NHC'!E32="[Enter service]"),"",'Services - NHC'!E32)</f>
        <v>Council Governance</v>
      </c>
      <c r="F34" s="68" t="str">
        <f>IF(OR('Services - NHC'!F32="",'Services - NHC'!F32="[Select]"),"",'Services - NHC'!F32)</f>
        <v>Mixed</v>
      </c>
      <c r="G34" s="15"/>
      <c r="H34" s="239"/>
      <c r="I34" s="239"/>
      <c r="J34" s="239"/>
      <c r="K34" s="239"/>
      <c r="L34" s="239"/>
      <c r="M34" s="239"/>
      <c r="N34" s="239"/>
      <c r="O34" s="239"/>
      <c r="P34" s="239"/>
      <c r="Q34" s="239"/>
      <c r="R34" s="239"/>
      <c r="S34" s="239"/>
      <c r="T34" s="240"/>
      <c r="U34" s="241"/>
      <c r="V34" s="425">
        <f t="shared" si="0"/>
        <v>0</v>
      </c>
      <c r="W34" s="17"/>
    </row>
    <row r="35" spans="1:23" ht="12" customHeight="1" x14ac:dyDescent="0.2">
      <c r="A35" s="6"/>
      <c r="B35" s="6"/>
      <c r="C35" s="13"/>
      <c r="D35" s="19">
        <f t="shared" si="1"/>
        <v>24</v>
      </c>
      <c r="E35" s="67" t="str">
        <f>IF(OR('Services - NHC'!E33="",'Services - NHC'!E33="[Enter service]"),"",'Services - NHC'!E33)</f>
        <v>Organisation Performance and Compliance</v>
      </c>
      <c r="F35" s="68" t="str">
        <f>IF(OR('Services - NHC'!F33="",'Services - NHC'!F33="[Select]"),"",'Services - NHC'!F33)</f>
        <v>Internal</v>
      </c>
      <c r="G35" s="15"/>
      <c r="H35" s="239"/>
      <c r="I35" s="239">
        <f>-GETPIVOTDATA("Sum of 2017/18",'[4]ESC User Fees'!$A$3,"Stat of Inc &amp; Exp (Available Cash)","User fees and charges","Strategic Objectives (KSAs)","SO5 - 02 - Organisational Performance and Compliance - Inc")</f>
        <v>4800</v>
      </c>
      <c r="J35" s="239">
        <f>-GETPIVOTDATA("Sum of 2017/18",'[4]ESC Grants Op'!$A$3,"Stat of Inc &amp; Exp (Available Cash)","Grants - operating","Strategic Objectives (KSAs)","SO5 - 02 - Organisational Performance and Compliance - Inc")</f>
        <v>193000</v>
      </c>
      <c r="K35" s="239"/>
      <c r="L35" s="239"/>
      <c r="M35" s="239"/>
      <c r="N35" s="239"/>
      <c r="O35" s="239"/>
      <c r="P35" s="239"/>
      <c r="Q35" s="239">
        <f>-GETPIVOTDATA("Sum of 2017/18",'[4]ESC Other Inc'!$A$3,"Stat of Inc &amp; Exp (Available Cash)","Other income","Strategic Objectives (KSAs)","SO5 - 02 - Organisational Performance and Compliance - Inc")</f>
        <v>1300</v>
      </c>
      <c r="R35" s="239"/>
      <c r="S35" s="239"/>
      <c r="T35" s="240"/>
      <c r="U35" s="241"/>
      <c r="V35" s="425">
        <f t="shared" si="0"/>
        <v>199100</v>
      </c>
      <c r="W35" s="17"/>
    </row>
    <row r="36" spans="1:23" ht="12" customHeight="1" x14ac:dyDescent="0.2">
      <c r="A36" s="6"/>
      <c r="B36" s="6"/>
      <c r="C36" s="13"/>
      <c r="D36" s="19">
        <f t="shared" si="1"/>
        <v>25</v>
      </c>
      <c r="E36" s="67" t="str">
        <f>IF(OR('Services - NHC'!E34="",'Services - NHC'!E34="[Enter service]"),"",'Services - NHC'!E34)</f>
        <v>Community Engagement and Customer Service</v>
      </c>
      <c r="F36" s="68" t="str">
        <f>IF(OR('Services - NHC'!F34="",'Services - NHC'!F34="[Select]"),"",'Services - NHC'!F34)</f>
        <v>Mixed</v>
      </c>
      <c r="G36" s="15"/>
      <c r="H36" s="239"/>
      <c r="I36" s="239"/>
      <c r="J36" s="239"/>
      <c r="K36" s="239"/>
      <c r="L36" s="239"/>
      <c r="M36" s="239"/>
      <c r="N36" s="239"/>
      <c r="O36" s="239"/>
      <c r="P36" s="239"/>
      <c r="Q36" s="239"/>
      <c r="R36" s="239"/>
      <c r="S36" s="239"/>
      <c r="T36" s="240"/>
      <c r="U36" s="241"/>
      <c r="V36" s="425">
        <f t="shared" si="0"/>
        <v>0</v>
      </c>
      <c r="W36" s="17"/>
    </row>
    <row r="37" spans="1:23" ht="12" customHeight="1" x14ac:dyDescent="0.2">
      <c r="A37" s="6"/>
      <c r="B37" s="6"/>
      <c r="C37" s="13"/>
      <c r="D37" s="19">
        <f t="shared" si="1"/>
        <v>26</v>
      </c>
      <c r="E37" s="67" t="str">
        <f>IF(OR('Services - NHC'!E35="",'Services - NHC'!E35="[Enter service]"),"",'Services - NHC'!E35)</f>
        <v>Financial and Risk Management</v>
      </c>
      <c r="F37" s="68" t="str">
        <f>IF(OR('Services - NHC'!F35="",'Services - NHC'!F35="[Select]"),"",'Services - NHC'!F35)</f>
        <v>Internal</v>
      </c>
      <c r="G37" s="15"/>
      <c r="H37" s="239">
        <f>-GETPIVOTDATA("Sum of 2017/18",'[4]ESC Stat Fees'!$A$3,"Stat of Inc &amp; Exp (Available Cash)","Statutory fees and fines","Strategic Objectives (KSAs)","SO5 - 04 - Financial and Risk Management - Inc")</f>
        <v>9000</v>
      </c>
      <c r="I37" s="239">
        <f>-GETPIVOTDATA("Sum of 2017/18",'[4]ESC User Fees'!$A$3,"Stat of Inc &amp; Exp (Available Cash)","User fees and charges","Strategic Objectives (KSAs)","SO5 - 04 - Financial and Risk Management - Inc")</f>
        <v>44873</v>
      </c>
      <c r="J37" s="239">
        <f>-GETPIVOTDATA("Sum of 2017/18",'[4]ESC Grants Op'!$A$3,"Stat of Inc &amp; Exp (Available Cash)","Grants - operating","Strategic Objectives (KSAs)","SO5 - 04 - Financial and Risk Management - Inc")</f>
        <v>38000</v>
      </c>
      <c r="K37" s="239"/>
      <c r="L37" s="239"/>
      <c r="M37" s="239"/>
      <c r="N37" s="239"/>
      <c r="O37" s="239"/>
      <c r="P37" s="239"/>
      <c r="Q37" s="239">
        <f>-GETPIVOTDATA("Sum of 2017/18",'[4]ESC Other Inc'!$A$3,"Stat of Inc &amp; Exp (Available Cash)","Other income","Strategic Objectives (KSAs)","SO5 - 04 - Financial and Risk Management - Inc")</f>
        <v>134500</v>
      </c>
      <c r="R37" s="239"/>
      <c r="S37" s="239"/>
      <c r="T37" s="240"/>
      <c r="U37" s="241"/>
      <c r="V37" s="425">
        <f t="shared" si="0"/>
        <v>226373</v>
      </c>
      <c r="W37" s="17"/>
    </row>
    <row r="38" spans="1:23" ht="12" customHeight="1" x14ac:dyDescent="0.2">
      <c r="A38" s="6"/>
      <c r="B38" s="6"/>
      <c r="C38" s="13"/>
      <c r="D38" s="19">
        <f t="shared" si="1"/>
        <v>27</v>
      </c>
      <c r="E38" s="67" t="str">
        <f>IF(OR('Services - NHC'!E36="",'Services - NHC'!E36="[Enter service]"),"",'Services - NHC'!E36)</f>
        <v/>
      </c>
      <c r="F38" s="68" t="str">
        <f>IF(OR('Services - NHC'!F36="",'Services - NHC'!F36="[Select]"),"",'Services - NHC'!F36)</f>
        <v/>
      </c>
      <c r="G38" s="15"/>
      <c r="H38" s="239"/>
      <c r="I38" s="239"/>
      <c r="J38" s="239"/>
      <c r="K38" s="239"/>
      <c r="L38" s="239"/>
      <c r="M38" s="239"/>
      <c r="N38" s="239"/>
      <c r="O38" s="239"/>
      <c r="P38" s="239"/>
      <c r="Q38" s="239"/>
      <c r="R38" s="239"/>
      <c r="S38" s="239"/>
      <c r="T38" s="240"/>
      <c r="U38" s="241"/>
      <c r="V38" s="425">
        <f t="shared" si="0"/>
        <v>0</v>
      </c>
      <c r="W38" s="17"/>
    </row>
    <row r="39" spans="1:23" ht="12" customHeight="1" x14ac:dyDescent="0.2">
      <c r="A39" s="6"/>
      <c r="B39" s="6"/>
      <c r="C39" s="13"/>
      <c r="D39" s="19">
        <f t="shared" si="1"/>
        <v>28</v>
      </c>
      <c r="E39" s="67" t="str">
        <f>IF(OR('Services - NHC'!E37="",'Services - NHC'!E37="[Enter service]"),"",'Services - NHC'!E37)</f>
        <v>Capital Works Program</v>
      </c>
      <c r="F39" s="68" t="str">
        <f>IF(OR('Services - NHC'!F37="",'Services - NHC'!F37="[Select]"),"",'Services - NHC'!F37)</f>
        <v>External</v>
      </c>
      <c r="G39" s="15"/>
      <c r="H39" s="239"/>
      <c r="I39" s="239"/>
      <c r="J39" s="239"/>
      <c r="K39" s="239"/>
      <c r="L39" s="239">
        <f>-'[5]5.2 Grants - capital'!$D$31</f>
        <v>231300</v>
      </c>
      <c r="M39" s="239">
        <f>-GETPIVOTDATA("Sum of 2017/18",'[4]ESC Grants Cap'!$A$3,"Stat of Inc &amp; Exp (Available Cash)","Grants - capital")-L39</f>
        <v>2616451</v>
      </c>
      <c r="N39" s="239"/>
      <c r="O39" s="239">
        <f>-GETPIVOTDATA("Sum of 2017/18",'[4]ESC Contrib Cap'!$A$3,"Stat of Inc &amp; Exp (Available Cash)","Contributions - monetary - capital")+'[8]After meeting with Lenny 300517'!$D$10</f>
        <v>0</v>
      </c>
      <c r="P39" s="239"/>
      <c r="Q39" s="239"/>
      <c r="R39" s="239"/>
      <c r="S39" s="239"/>
      <c r="T39" s="240"/>
      <c r="U39" s="241"/>
      <c r="V39" s="425">
        <f t="shared" si="0"/>
        <v>2847751</v>
      </c>
      <c r="W39" s="17"/>
    </row>
    <row r="40" spans="1:23" ht="12" customHeight="1" x14ac:dyDescent="0.2">
      <c r="A40" s="6"/>
      <c r="B40" s="6"/>
      <c r="C40" s="13"/>
      <c r="D40" s="19">
        <f t="shared" si="1"/>
        <v>29</v>
      </c>
      <c r="E40" s="67" t="str">
        <f>IF(OR('Services - NHC'!E38="",'Services - NHC'!E38="[Enter service]"),"",'Services - NHC'!E38)</f>
        <v/>
      </c>
      <c r="F40" s="68" t="str">
        <f>IF(OR('Services - NHC'!F38="",'Services - NHC'!F38="[Select]"),"",'Services - NHC'!F38)</f>
        <v/>
      </c>
      <c r="G40" s="15"/>
      <c r="H40" s="239"/>
      <c r="I40" s="239"/>
      <c r="J40" s="239"/>
      <c r="K40" s="239"/>
      <c r="L40" s="239"/>
      <c r="M40" s="239"/>
      <c r="N40" s="239"/>
      <c r="O40" s="239"/>
      <c r="P40" s="239"/>
      <c r="Q40" s="239"/>
      <c r="R40" s="239"/>
      <c r="S40" s="239"/>
      <c r="T40" s="240"/>
      <c r="U40" s="241"/>
      <c r="V40" s="425">
        <f t="shared" si="0"/>
        <v>0</v>
      </c>
      <c r="W40" s="17"/>
    </row>
    <row r="41" spans="1:23" ht="12" customHeight="1" x14ac:dyDescent="0.2">
      <c r="A41" s="6"/>
      <c r="B41" s="6"/>
      <c r="C41" s="13"/>
      <c r="D41" s="19">
        <f t="shared" si="1"/>
        <v>30</v>
      </c>
      <c r="E41" s="67" t="str">
        <f>IF(OR('Services - NHC'!E39="",'Services - NHC'!E39="[Enter service]"),"",'Services - NHC'!E39)</f>
        <v/>
      </c>
      <c r="F41" s="68" t="str">
        <f>IF(OR('Services - NHC'!F39="",'Services - NHC'!F39="[Select]"),"",'Services - NHC'!F39)</f>
        <v/>
      </c>
      <c r="G41" s="15"/>
      <c r="H41" s="239"/>
      <c r="I41" s="239"/>
      <c r="J41" s="239"/>
      <c r="K41" s="239"/>
      <c r="L41" s="239"/>
      <c r="M41" s="239"/>
      <c r="N41" s="239"/>
      <c r="O41" s="239"/>
      <c r="P41" s="239"/>
      <c r="Q41" s="239"/>
      <c r="R41" s="239"/>
      <c r="S41" s="239"/>
      <c r="T41" s="240"/>
      <c r="U41" s="241"/>
      <c r="V41" s="425">
        <f t="shared" si="0"/>
        <v>0</v>
      </c>
      <c r="W41" s="17"/>
    </row>
    <row r="42" spans="1:23" ht="12" customHeight="1" x14ac:dyDescent="0.2">
      <c r="A42" s="6"/>
      <c r="B42" s="6"/>
      <c r="C42" s="13"/>
      <c r="D42" s="19">
        <f t="shared" si="1"/>
        <v>31</v>
      </c>
      <c r="E42" s="67" t="str">
        <f>IF(OR('Services - NHC'!E40="",'Services - NHC'!E40="[Enter service]"),"",'Services - NHC'!E40)</f>
        <v/>
      </c>
      <c r="F42" s="68" t="str">
        <f>IF(OR('Services - NHC'!F40="",'Services - NHC'!F40="[Select]"),"",'Services - NHC'!F40)</f>
        <v/>
      </c>
      <c r="G42" s="15"/>
      <c r="H42" s="239"/>
      <c r="I42" s="239"/>
      <c r="J42" s="239"/>
      <c r="K42" s="239"/>
      <c r="L42" s="239"/>
      <c r="M42" s="239"/>
      <c r="N42" s="239"/>
      <c r="O42" s="239"/>
      <c r="P42" s="239"/>
      <c r="Q42" s="239"/>
      <c r="R42" s="239"/>
      <c r="S42" s="239"/>
      <c r="T42" s="240"/>
      <c r="U42" s="241"/>
      <c r="V42" s="425">
        <f t="shared" si="0"/>
        <v>0</v>
      </c>
      <c r="W42" s="17"/>
    </row>
    <row r="43" spans="1:23" ht="12" customHeight="1" x14ac:dyDescent="0.2">
      <c r="A43" s="6"/>
      <c r="B43" s="6"/>
      <c r="C43" s="13"/>
      <c r="D43" s="19">
        <f t="shared" si="1"/>
        <v>32</v>
      </c>
      <c r="E43" s="67" t="str">
        <f>IF(OR('Services - NHC'!E41="",'Services - NHC'!E41="[Enter service]"),"",'Services - NHC'!E41)</f>
        <v/>
      </c>
      <c r="F43" s="68" t="str">
        <f>IF(OR('Services - NHC'!F41="",'Services - NHC'!F41="[Select]"),"",'Services - NHC'!F41)</f>
        <v/>
      </c>
      <c r="G43" s="15"/>
      <c r="H43" s="239"/>
      <c r="I43" s="239"/>
      <c r="J43" s="239"/>
      <c r="K43" s="239"/>
      <c r="L43" s="239"/>
      <c r="M43" s="239"/>
      <c r="N43" s="239"/>
      <c r="O43" s="239"/>
      <c r="P43" s="239"/>
      <c r="Q43" s="239"/>
      <c r="R43" s="239"/>
      <c r="S43" s="239"/>
      <c r="T43" s="240"/>
      <c r="U43" s="241"/>
      <c r="V43" s="425">
        <f t="shared" si="0"/>
        <v>0</v>
      </c>
      <c r="W43" s="17"/>
    </row>
    <row r="44" spans="1:23" ht="12" customHeight="1" x14ac:dyDescent="0.2">
      <c r="A44" s="6"/>
      <c r="B44" s="6"/>
      <c r="C44" s="13"/>
      <c r="D44" s="19">
        <f t="shared" si="1"/>
        <v>33</v>
      </c>
      <c r="E44" s="67" t="str">
        <f>IF(OR('Services - NHC'!E42="",'Services - NHC'!E42="[Enter service]"),"",'Services - NHC'!E42)</f>
        <v/>
      </c>
      <c r="F44" s="68" t="str">
        <f>IF(OR('Services - NHC'!F42="",'Services - NHC'!F42="[Select]"),"",'Services - NHC'!F42)</f>
        <v/>
      </c>
      <c r="G44" s="15"/>
      <c r="H44" s="239"/>
      <c r="I44" s="239"/>
      <c r="J44" s="239"/>
      <c r="K44" s="239"/>
      <c r="L44" s="239"/>
      <c r="M44" s="239"/>
      <c r="N44" s="239"/>
      <c r="O44" s="239"/>
      <c r="P44" s="239"/>
      <c r="Q44" s="239"/>
      <c r="R44" s="239"/>
      <c r="S44" s="239"/>
      <c r="T44" s="240"/>
      <c r="U44" s="241"/>
      <c r="V44" s="425">
        <f t="shared" ref="V44:V75" si="2">SUM(H44:U44)</f>
        <v>0</v>
      </c>
      <c r="W44" s="17"/>
    </row>
    <row r="45" spans="1:23" ht="12" customHeight="1" x14ac:dyDescent="0.2">
      <c r="A45" s="6"/>
      <c r="B45" s="6"/>
      <c r="C45" s="13"/>
      <c r="D45" s="19">
        <f t="shared" si="1"/>
        <v>34</v>
      </c>
      <c r="E45" s="67" t="str">
        <f>IF(OR('Services - NHC'!E43="",'Services - NHC'!E43="[Enter service]"),"",'Services - NHC'!E43)</f>
        <v/>
      </c>
      <c r="F45" s="68" t="str">
        <f>IF(OR('Services - NHC'!F43="",'Services - NHC'!F43="[Select]"),"",'Services - NHC'!F43)</f>
        <v/>
      </c>
      <c r="G45" s="15"/>
      <c r="H45" s="239"/>
      <c r="I45" s="239"/>
      <c r="J45" s="239"/>
      <c r="K45" s="239"/>
      <c r="L45" s="239"/>
      <c r="M45" s="239"/>
      <c r="N45" s="239"/>
      <c r="O45" s="239"/>
      <c r="P45" s="239"/>
      <c r="Q45" s="239"/>
      <c r="R45" s="239"/>
      <c r="S45" s="239"/>
      <c r="T45" s="240"/>
      <c r="U45" s="241"/>
      <c r="V45" s="425">
        <f t="shared" si="2"/>
        <v>0</v>
      </c>
      <c r="W45" s="17"/>
    </row>
    <row r="46" spans="1:23" ht="12" customHeight="1" x14ac:dyDescent="0.2">
      <c r="A46" s="6"/>
      <c r="B46" s="6"/>
      <c r="C46" s="13"/>
      <c r="D46" s="19">
        <f t="shared" si="1"/>
        <v>35</v>
      </c>
      <c r="E46" s="67" t="str">
        <f>IF(OR('Services - NHC'!E44="",'Services - NHC'!E44="[Enter service]"),"",'Services - NHC'!E44)</f>
        <v/>
      </c>
      <c r="F46" s="68" t="str">
        <f>IF(OR('Services - NHC'!F44="",'Services - NHC'!F44="[Select]"),"",'Services - NHC'!F44)</f>
        <v/>
      </c>
      <c r="G46" s="15"/>
      <c r="H46" s="239"/>
      <c r="I46" s="239"/>
      <c r="J46" s="239"/>
      <c r="K46" s="239"/>
      <c r="L46" s="239"/>
      <c r="M46" s="239"/>
      <c r="N46" s="239"/>
      <c r="O46" s="239"/>
      <c r="P46" s="239"/>
      <c r="Q46" s="239"/>
      <c r="R46" s="239"/>
      <c r="S46" s="239"/>
      <c r="T46" s="240"/>
      <c r="U46" s="241"/>
      <c r="V46" s="425">
        <f t="shared" si="2"/>
        <v>0</v>
      </c>
      <c r="W46" s="17"/>
    </row>
    <row r="47" spans="1:23" ht="12" customHeight="1" x14ac:dyDescent="0.2">
      <c r="A47" s="6"/>
      <c r="B47" s="6"/>
      <c r="C47" s="13"/>
      <c r="D47" s="19">
        <f t="shared" si="1"/>
        <v>36</v>
      </c>
      <c r="E47" s="67" t="str">
        <f>IF(OR('Services - NHC'!E45="",'Services - NHC'!E45="[Enter service]"),"",'Services - NHC'!E45)</f>
        <v/>
      </c>
      <c r="F47" s="68" t="str">
        <f>IF(OR('Services - NHC'!F45="",'Services - NHC'!F45="[Select]"),"",'Services - NHC'!F45)</f>
        <v/>
      </c>
      <c r="G47" s="15"/>
      <c r="H47" s="239"/>
      <c r="I47" s="239"/>
      <c r="J47" s="239"/>
      <c r="K47" s="239"/>
      <c r="L47" s="239"/>
      <c r="M47" s="239"/>
      <c r="N47" s="239"/>
      <c r="O47" s="239"/>
      <c r="P47" s="239"/>
      <c r="Q47" s="239"/>
      <c r="R47" s="239"/>
      <c r="S47" s="239"/>
      <c r="T47" s="240"/>
      <c r="U47" s="241"/>
      <c r="V47" s="425">
        <f t="shared" si="2"/>
        <v>0</v>
      </c>
      <c r="W47" s="17"/>
    </row>
    <row r="48" spans="1:23" ht="12" customHeight="1" x14ac:dyDescent="0.2">
      <c r="A48" s="6"/>
      <c r="B48" s="6"/>
      <c r="C48" s="13"/>
      <c r="D48" s="19">
        <f t="shared" si="1"/>
        <v>37</v>
      </c>
      <c r="E48" s="67" t="str">
        <f>IF(OR('Services - NHC'!E46="",'Services - NHC'!E46="[Enter service]"),"",'Services - NHC'!E46)</f>
        <v/>
      </c>
      <c r="F48" s="68" t="str">
        <f>IF(OR('Services - NHC'!F46="",'Services - NHC'!F46="[Select]"),"",'Services - NHC'!F46)</f>
        <v/>
      </c>
      <c r="G48" s="15"/>
      <c r="H48" s="239"/>
      <c r="I48" s="239"/>
      <c r="J48" s="239"/>
      <c r="K48" s="239"/>
      <c r="L48" s="239"/>
      <c r="M48" s="239"/>
      <c r="N48" s="239"/>
      <c r="O48" s="239"/>
      <c r="P48" s="239"/>
      <c r="Q48" s="239"/>
      <c r="R48" s="239"/>
      <c r="S48" s="239"/>
      <c r="T48" s="240"/>
      <c r="U48" s="241"/>
      <c r="V48" s="425">
        <f t="shared" si="2"/>
        <v>0</v>
      </c>
      <c r="W48" s="17"/>
    </row>
    <row r="49" spans="1:23" ht="12" customHeight="1" x14ac:dyDescent="0.2">
      <c r="A49" s="6"/>
      <c r="B49" s="6"/>
      <c r="C49" s="13"/>
      <c r="D49" s="19">
        <f t="shared" si="1"/>
        <v>38</v>
      </c>
      <c r="E49" s="67" t="str">
        <f>IF(OR('Services - NHC'!E47="",'Services - NHC'!E47="[Enter service]"),"",'Services - NHC'!E47)</f>
        <v/>
      </c>
      <c r="F49" s="68" t="str">
        <f>IF(OR('Services - NHC'!F47="",'Services - NHC'!F47="[Select]"),"",'Services - NHC'!F47)</f>
        <v/>
      </c>
      <c r="G49" s="15"/>
      <c r="H49" s="239"/>
      <c r="I49" s="239"/>
      <c r="J49" s="239"/>
      <c r="K49" s="239"/>
      <c r="L49" s="239"/>
      <c r="M49" s="239"/>
      <c r="N49" s="239"/>
      <c r="O49" s="239"/>
      <c r="P49" s="239"/>
      <c r="Q49" s="239"/>
      <c r="R49" s="239"/>
      <c r="S49" s="239"/>
      <c r="T49" s="240"/>
      <c r="U49" s="241"/>
      <c r="V49" s="425">
        <f t="shared" si="2"/>
        <v>0</v>
      </c>
      <c r="W49" s="17"/>
    </row>
    <row r="50" spans="1:23" ht="12" customHeight="1" x14ac:dyDescent="0.2">
      <c r="A50" s="6"/>
      <c r="B50" s="6"/>
      <c r="C50" s="13"/>
      <c r="D50" s="19">
        <f t="shared" si="1"/>
        <v>39</v>
      </c>
      <c r="E50" s="67" t="str">
        <f>IF(OR('Services - NHC'!E48="",'Services - NHC'!E48="[Enter service]"),"",'Services - NHC'!E48)</f>
        <v/>
      </c>
      <c r="F50" s="68" t="str">
        <f>IF(OR('Services - NHC'!F48="",'Services - NHC'!F48="[Select]"),"",'Services - NHC'!F48)</f>
        <v/>
      </c>
      <c r="G50" s="15"/>
      <c r="H50" s="239"/>
      <c r="I50" s="239"/>
      <c r="J50" s="239"/>
      <c r="K50" s="239"/>
      <c r="L50" s="239"/>
      <c r="M50" s="239"/>
      <c r="N50" s="239"/>
      <c r="O50" s="239"/>
      <c r="P50" s="239"/>
      <c r="Q50" s="239"/>
      <c r="R50" s="239"/>
      <c r="S50" s="239"/>
      <c r="T50" s="240"/>
      <c r="U50" s="241"/>
      <c r="V50" s="425">
        <f t="shared" si="2"/>
        <v>0</v>
      </c>
      <c r="W50" s="17"/>
    </row>
    <row r="51" spans="1:23" ht="12" customHeight="1" x14ac:dyDescent="0.2">
      <c r="A51" s="6"/>
      <c r="B51" s="6"/>
      <c r="C51" s="13"/>
      <c r="D51" s="19">
        <f t="shared" si="1"/>
        <v>40</v>
      </c>
      <c r="E51" s="67" t="str">
        <f>IF(OR('Services - NHC'!E49="",'Services - NHC'!E49="[Enter service]"),"",'Services - NHC'!E49)</f>
        <v/>
      </c>
      <c r="F51" s="68" t="str">
        <f>IF(OR('Services - NHC'!F49="",'Services - NHC'!F49="[Select]"),"",'Services - NHC'!F49)</f>
        <v/>
      </c>
      <c r="G51" s="15"/>
      <c r="H51" s="239"/>
      <c r="I51" s="239"/>
      <c r="J51" s="239"/>
      <c r="K51" s="239"/>
      <c r="L51" s="239"/>
      <c r="M51" s="239"/>
      <c r="N51" s="239"/>
      <c r="O51" s="239"/>
      <c r="P51" s="239"/>
      <c r="Q51" s="239"/>
      <c r="R51" s="239"/>
      <c r="S51" s="239"/>
      <c r="T51" s="240"/>
      <c r="U51" s="241"/>
      <c r="V51" s="425">
        <f t="shared" si="2"/>
        <v>0</v>
      </c>
      <c r="W51" s="17"/>
    </row>
    <row r="52" spans="1:23" ht="12" customHeight="1" x14ac:dyDescent="0.2">
      <c r="A52" s="6"/>
      <c r="B52" s="6"/>
      <c r="C52" s="13"/>
      <c r="D52" s="19">
        <f t="shared" si="1"/>
        <v>41</v>
      </c>
      <c r="E52" s="67" t="str">
        <f>IF(OR('Services - NHC'!E50="",'Services - NHC'!E50="[Enter service]"),"",'Services - NHC'!E50)</f>
        <v/>
      </c>
      <c r="F52" s="68" t="str">
        <f>IF(OR('Services - NHC'!F50="",'Services - NHC'!F50="[Select]"),"",'Services - NHC'!F50)</f>
        <v/>
      </c>
      <c r="G52" s="15"/>
      <c r="H52" s="239"/>
      <c r="I52" s="239"/>
      <c r="J52" s="239"/>
      <c r="K52" s="239"/>
      <c r="L52" s="239"/>
      <c r="M52" s="239"/>
      <c r="N52" s="239"/>
      <c r="O52" s="239"/>
      <c r="P52" s="239"/>
      <c r="Q52" s="239"/>
      <c r="R52" s="239"/>
      <c r="S52" s="239"/>
      <c r="T52" s="240"/>
      <c r="U52" s="241"/>
      <c r="V52" s="425">
        <f t="shared" si="2"/>
        <v>0</v>
      </c>
      <c r="W52" s="17"/>
    </row>
    <row r="53" spans="1:23" ht="12" customHeight="1" x14ac:dyDescent="0.2">
      <c r="A53" s="6"/>
      <c r="B53" s="6"/>
      <c r="C53" s="13"/>
      <c r="D53" s="19">
        <f t="shared" si="1"/>
        <v>42</v>
      </c>
      <c r="E53" s="67" t="str">
        <f>IF(OR('Services - NHC'!E51="",'Services - NHC'!E51="[Enter service]"),"",'Services - NHC'!E51)</f>
        <v/>
      </c>
      <c r="F53" s="68" t="str">
        <f>IF(OR('Services - NHC'!F51="",'Services - NHC'!F51="[Select]"),"",'Services - NHC'!F51)</f>
        <v/>
      </c>
      <c r="G53" s="15"/>
      <c r="H53" s="239"/>
      <c r="I53" s="239"/>
      <c r="J53" s="239"/>
      <c r="K53" s="239"/>
      <c r="L53" s="239"/>
      <c r="M53" s="239"/>
      <c r="N53" s="239"/>
      <c r="O53" s="239"/>
      <c r="P53" s="239"/>
      <c r="Q53" s="239"/>
      <c r="R53" s="239"/>
      <c r="S53" s="239"/>
      <c r="T53" s="240"/>
      <c r="U53" s="241"/>
      <c r="V53" s="425">
        <f t="shared" si="2"/>
        <v>0</v>
      </c>
      <c r="W53" s="17"/>
    </row>
    <row r="54" spans="1:23" ht="12" customHeight="1" x14ac:dyDescent="0.2">
      <c r="A54" s="6"/>
      <c r="B54" s="6"/>
      <c r="C54" s="13"/>
      <c r="D54" s="19">
        <f t="shared" si="1"/>
        <v>43</v>
      </c>
      <c r="E54" s="67" t="str">
        <f>IF(OR('Services - NHC'!E52="",'Services - NHC'!E52="[Enter service]"),"",'Services - NHC'!E52)</f>
        <v/>
      </c>
      <c r="F54" s="68" t="str">
        <f>IF(OR('Services - NHC'!F52="",'Services - NHC'!F52="[Select]"),"",'Services - NHC'!F52)</f>
        <v/>
      </c>
      <c r="G54" s="15"/>
      <c r="H54" s="239"/>
      <c r="I54" s="239"/>
      <c r="J54" s="239"/>
      <c r="K54" s="239"/>
      <c r="L54" s="239"/>
      <c r="M54" s="239"/>
      <c r="N54" s="239"/>
      <c r="O54" s="239"/>
      <c r="P54" s="239"/>
      <c r="Q54" s="239"/>
      <c r="R54" s="239"/>
      <c r="S54" s="239"/>
      <c r="T54" s="240"/>
      <c r="U54" s="241"/>
      <c r="V54" s="425">
        <f t="shared" si="2"/>
        <v>0</v>
      </c>
      <c r="W54" s="17"/>
    </row>
    <row r="55" spans="1:23" ht="12" customHeight="1" x14ac:dyDescent="0.2">
      <c r="A55" s="6"/>
      <c r="B55" s="6"/>
      <c r="C55" s="13"/>
      <c r="D55" s="19">
        <f t="shared" si="1"/>
        <v>44</v>
      </c>
      <c r="E55" s="67" t="str">
        <f>IF(OR('Services - NHC'!E53="",'Services - NHC'!E53="[Enter service]"),"",'Services - NHC'!E53)</f>
        <v/>
      </c>
      <c r="F55" s="68" t="str">
        <f>IF(OR('Services - NHC'!F53="",'Services - NHC'!F53="[Select]"),"",'Services - NHC'!F53)</f>
        <v/>
      </c>
      <c r="G55" s="15"/>
      <c r="H55" s="239"/>
      <c r="I55" s="239"/>
      <c r="J55" s="239"/>
      <c r="K55" s="239"/>
      <c r="L55" s="239"/>
      <c r="M55" s="239"/>
      <c r="N55" s="239"/>
      <c r="O55" s="239"/>
      <c r="P55" s="239"/>
      <c r="Q55" s="239"/>
      <c r="R55" s="239"/>
      <c r="S55" s="239"/>
      <c r="T55" s="240"/>
      <c r="U55" s="241"/>
      <c r="V55" s="425">
        <f t="shared" si="2"/>
        <v>0</v>
      </c>
      <c r="W55" s="17"/>
    </row>
    <row r="56" spans="1:23" ht="12" customHeight="1" x14ac:dyDescent="0.2">
      <c r="A56" s="6"/>
      <c r="B56" s="6"/>
      <c r="C56" s="13"/>
      <c r="D56" s="19">
        <f t="shared" si="1"/>
        <v>45</v>
      </c>
      <c r="E56" s="67" t="str">
        <f>IF(OR('Services - NHC'!E54="",'Services - NHC'!E54="[Enter service]"),"",'Services - NHC'!E54)</f>
        <v/>
      </c>
      <c r="F56" s="68" t="str">
        <f>IF(OR('Services - NHC'!F54="",'Services - NHC'!F54="[Select]"),"",'Services - NHC'!F54)</f>
        <v/>
      </c>
      <c r="G56" s="15"/>
      <c r="H56" s="239"/>
      <c r="I56" s="239"/>
      <c r="J56" s="239"/>
      <c r="K56" s="239"/>
      <c r="L56" s="239"/>
      <c r="M56" s="239"/>
      <c r="N56" s="239"/>
      <c r="O56" s="239"/>
      <c r="P56" s="239"/>
      <c r="Q56" s="239"/>
      <c r="R56" s="239"/>
      <c r="S56" s="239"/>
      <c r="T56" s="240"/>
      <c r="U56" s="241"/>
      <c r="V56" s="425">
        <f t="shared" si="2"/>
        <v>0</v>
      </c>
      <c r="W56" s="17"/>
    </row>
    <row r="57" spans="1:23" ht="12" customHeight="1" x14ac:dyDescent="0.2">
      <c r="A57" s="6"/>
      <c r="B57" s="6"/>
      <c r="C57" s="13"/>
      <c r="D57" s="19">
        <f t="shared" si="1"/>
        <v>46</v>
      </c>
      <c r="E57" s="67" t="str">
        <f>IF(OR('Services - NHC'!E55="",'Services - NHC'!E55="[Enter service]"),"",'Services - NHC'!E55)</f>
        <v/>
      </c>
      <c r="F57" s="68" t="str">
        <f>IF(OR('Services - NHC'!F55="",'Services - NHC'!F55="[Select]"),"",'Services - NHC'!F55)</f>
        <v/>
      </c>
      <c r="G57" s="15"/>
      <c r="H57" s="239"/>
      <c r="I57" s="239"/>
      <c r="J57" s="239"/>
      <c r="K57" s="239"/>
      <c r="L57" s="239"/>
      <c r="M57" s="239"/>
      <c r="N57" s="239"/>
      <c r="O57" s="239"/>
      <c r="P57" s="239"/>
      <c r="Q57" s="239"/>
      <c r="R57" s="239"/>
      <c r="S57" s="239"/>
      <c r="T57" s="240"/>
      <c r="U57" s="241"/>
      <c r="V57" s="425">
        <f t="shared" si="2"/>
        <v>0</v>
      </c>
      <c r="W57" s="17"/>
    </row>
    <row r="58" spans="1:23" ht="12" customHeight="1" x14ac:dyDescent="0.2">
      <c r="A58" s="6"/>
      <c r="B58" s="6"/>
      <c r="C58" s="13"/>
      <c r="D58" s="19">
        <f t="shared" si="1"/>
        <v>47</v>
      </c>
      <c r="E58" s="67" t="str">
        <f>IF(OR('Services - NHC'!E56="",'Services - NHC'!E56="[Enter service]"),"",'Services - NHC'!E56)</f>
        <v/>
      </c>
      <c r="F58" s="68" t="str">
        <f>IF(OR('Services - NHC'!F56="",'Services - NHC'!F56="[Select]"),"",'Services - NHC'!F56)</f>
        <v/>
      </c>
      <c r="G58" s="15"/>
      <c r="H58" s="239"/>
      <c r="I58" s="239"/>
      <c r="J58" s="239"/>
      <c r="K58" s="239"/>
      <c r="L58" s="239"/>
      <c r="M58" s="239"/>
      <c r="N58" s="239"/>
      <c r="O58" s="239"/>
      <c r="P58" s="239"/>
      <c r="Q58" s="239"/>
      <c r="R58" s="239"/>
      <c r="S58" s="239"/>
      <c r="T58" s="240"/>
      <c r="U58" s="241"/>
      <c r="V58" s="425">
        <f t="shared" si="2"/>
        <v>0</v>
      </c>
      <c r="W58" s="17"/>
    </row>
    <row r="59" spans="1:23" ht="12" customHeight="1" x14ac:dyDescent="0.2">
      <c r="A59" s="6"/>
      <c r="B59" s="6"/>
      <c r="C59" s="13"/>
      <c r="D59" s="19">
        <f t="shared" si="1"/>
        <v>48</v>
      </c>
      <c r="E59" s="67" t="str">
        <f>IF(OR('Services - NHC'!E57="",'Services - NHC'!E57="[Enter service]"),"",'Services - NHC'!E57)</f>
        <v/>
      </c>
      <c r="F59" s="68" t="str">
        <f>IF(OR('Services - NHC'!F57="",'Services - NHC'!F57="[Select]"),"",'Services - NHC'!F57)</f>
        <v/>
      </c>
      <c r="G59" s="15"/>
      <c r="H59" s="239"/>
      <c r="I59" s="239"/>
      <c r="J59" s="239"/>
      <c r="K59" s="239"/>
      <c r="L59" s="239"/>
      <c r="M59" s="239"/>
      <c r="N59" s="239"/>
      <c r="O59" s="239"/>
      <c r="P59" s="239"/>
      <c r="Q59" s="239"/>
      <c r="R59" s="239"/>
      <c r="S59" s="239"/>
      <c r="T59" s="240"/>
      <c r="U59" s="241"/>
      <c r="V59" s="425">
        <f t="shared" si="2"/>
        <v>0</v>
      </c>
      <c r="W59" s="17"/>
    </row>
    <row r="60" spans="1:23" ht="12" customHeight="1" x14ac:dyDescent="0.2">
      <c r="A60" s="6"/>
      <c r="B60" s="6"/>
      <c r="C60" s="13"/>
      <c r="D60" s="19">
        <f t="shared" si="1"/>
        <v>49</v>
      </c>
      <c r="E60" s="67" t="str">
        <f>IF(OR('Services - NHC'!E58="",'Services - NHC'!E58="[Enter service]"),"",'Services - NHC'!E58)</f>
        <v/>
      </c>
      <c r="F60" s="68" t="str">
        <f>IF(OR('Services - NHC'!F58="",'Services - NHC'!F58="[Select]"),"",'Services - NHC'!F58)</f>
        <v/>
      </c>
      <c r="G60" s="15"/>
      <c r="H60" s="239"/>
      <c r="I60" s="239"/>
      <c r="J60" s="239"/>
      <c r="K60" s="239"/>
      <c r="L60" s="239"/>
      <c r="M60" s="239"/>
      <c r="N60" s="239"/>
      <c r="O60" s="239"/>
      <c r="P60" s="239"/>
      <c r="Q60" s="239"/>
      <c r="R60" s="239"/>
      <c r="S60" s="239"/>
      <c r="T60" s="240"/>
      <c r="U60" s="241"/>
      <c r="V60" s="425">
        <f t="shared" si="2"/>
        <v>0</v>
      </c>
      <c r="W60" s="17"/>
    </row>
    <row r="61" spans="1:23" ht="12" customHeight="1" x14ac:dyDescent="0.2">
      <c r="A61" s="6"/>
      <c r="B61" s="6"/>
      <c r="C61" s="13"/>
      <c r="D61" s="19">
        <f t="shared" si="1"/>
        <v>50</v>
      </c>
      <c r="E61" s="67" t="str">
        <f>IF(OR('Services - NHC'!E59="",'Services - NHC'!E59="[Enter service]"),"",'Services - NHC'!E59)</f>
        <v/>
      </c>
      <c r="F61" s="68" t="str">
        <f>IF(OR('Services - NHC'!F59="",'Services - NHC'!F59="[Select]"),"",'Services - NHC'!F59)</f>
        <v/>
      </c>
      <c r="G61" s="15"/>
      <c r="H61" s="239"/>
      <c r="I61" s="239"/>
      <c r="J61" s="239"/>
      <c r="K61" s="239"/>
      <c r="L61" s="239"/>
      <c r="M61" s="239"/>
      <c r="N61" s="239"/>
      <c r="O61" s="239"/>
      <c r="P61" s="239"/>
      <c r="Q61" s="239"/>
      <c r="R61" s="239"/>
      <c r="S61" s="239"/>
      <c r="T61" s="240"/>
      <c r="U61" s="241"/>
      <c r="V61" s="425">
        <f t="shared" si="2"/>
        <v>0</v>
      </c>
      <c r="W61" s="17"/>
    </row>
    <row r="62" spans="1:23" ht="12" customHeight="1" x14ac:dyDescent="0.2">
      <c r="A62" s="6"/>
      <c r="B62" s="6"/>
      <c r="C62" s="13"/>
      <c r="D62" s="19">
        <f t="shared" si="1"/>
        <v>51</v>
      </c>
      <c r="E62" s="67" t="str">
        <f>IF(OR('Services - NHC'!E60="",'Services - NHC'!E60="[Enter service]"),"",'Services - NHC'!E60)</f>
        <v/>
      </c>
      <c r="F62" s="68" t="str">
        <f>IF(OR('Services - NHC'!F60="",'Services - NHC'!F60="[Select]"),"",'Services - NHC'!F60)</f>
        <v/>
      </c>
      <c r="G62" s="15"/>
      <c r="H62" s="239"/>
      <c r="I62" s="239"/>
      <c r="J62" s="239"/>
      <c r="K62" s="239"/>
      <c r="L62" s="239"/>
      <c r="M62" s="239"/>
      <c r="N62" s="239"/>
      <c r="O62" s="239"/>
      <c r="P62" s="239"/>
      <c r="Q62" s="239"/>
      <c r="R62" s="239"/>
      <c r="S62" s="239"/>
      <c r="T62" s="240"/>
      <c r="U62" s="241"/>
      <c r="V62" s="425">
        <f t="shared" si="2"/>
        <v>0</v>
      </c>
      <c r="W62" s="17"/>
    </row>
    <row r="63" spans="1:23" ht="12" customHeight="1" x14ac:dyDescent="0.2">
      <c r="A63" s="6"/>
      <c r="B63" s="6"/>
      <c r="C63" s="13"/>
      <c r="D63" s="19">
        <f t="shared" si="1"/>
        <v>52</v>
      </c>
      <c r="E63" s="67" t="str">
        <f>IF(OR('Services - NHC'!E61="",'Services - NHC'!E61="[Enter service]"),"",'Services - NHC'!E61)</f>
        <v/>
      </c>
      <c r="F63" s="68" t="str">
        <f>IF(OR('Services - NHC'!F61="",'Services - NHC'!F61="[Select]"),"",'Services - NHC'!F61)</f>
        <v/>
      </c>
      <c r="G63" s="15"/>
      <c r="H63" s="239"/>
      <c r="I63" s="239"/>
      <c r="J63" s="239"/>
      <c r="K63" s="239"/>
      <c r="L63" s="239"/>
      <c r="M63" s="239"/>
      <c r="N63" s="239"/>
      <c r="O63" s="239"/>
      <c r="P63" s="239"/>
      <c r="Q63" s="239"/>
      <c r="R63" s="239"/>
      <c r="S63" s="239"/>
      <c r="T63" s="240"/>
      <c r="U63" s="241"/>
      <c r="V63" s="425">
        <f t="shared" si="2"/>
        <v>0</v>
      </c>
      <c r="W63" s="17"/>
    </row>
    <row r="64" spans="1:23" ht="12" customHeight="1" x14ac:dyDescent="0.2">
      <c r="A64" s="6"/>
      <c r="B64" s="6"/>
      <c r="C64" s="13"/>
      <c r="D64" s="19">
        <f t="shared" si="1"/>
        <v>53</v>
      </c>
      <c r="E64" s="67" t="str">
        <f>IF(OR('Services - NHC'!E62="",'Services - NHC'!E62="[Enter service]"),"",'Services - NHC'!E62)</f>
        <v/>
      </c>
      <c r="F64" s="68" t="str">
        <f>IF(OR('Services - NHC'!F62="",'Services - NHC'!F62="[Select]"),"",'Services - NHC'!F62)</f>
        <v/>
      </c>
      <c r="G64" s="15"/>
      <c r="H64" s="239"/>
      <c r="I64" s="239"/>
      <c r="J64" s="239"/>
      <c r="K64" s="239"/>
      <c r="L64" s="239"/>
      <c r="M64" s="239"/>
      <c r="N64" s="239"/>
      <c r="O64" s="239"/>
      <c r="P64" s="239"/>
      <c r="Q64" s="239"/>
      <c r="R64" s="239"/>
      <c r="S64" s="239"/>
      <c r="T64" s="240"/>
      <c r="U64" s="241"/>
      <c r="V64" s="425">
        <f t="shared" si="2"/>
        <v>0</v>
      </c>
      <c r="W64" s="17"/>
    </row>
    <row r="65" spans="1:23" ht="12" customHeight="1" x14ac:dyDescent="0.2">
      <c r="A65" s="6"/>
      <c r="B65" s="6"/>
      <c r="C65" s="13"/>
      <c r="D65" s="19">
        <f t="shared" si="1"/>
        <v>54</v>
      </c>
      <c r="E65" s="67" t="str">
        <f>IF(OR('Services - NHC'!E63="",'Services - NHC'!E63="[Enter service]"),"",'Services - NHC'!E63)</f>
        <v/>
      </c>
      <c r="F65" s="68" t="str">
        <f>IF(OR('Services - NHC'!F63="",'Services - NHC'!F63="[Select]"),"",'Services - NHC'!F63)</f>
        <v/>
      </c>
      <c r="G65" s="15"/>
      <c r="H65" s="239"/>
      <c r="I65" s="239"/>
      <c r="J65" s="239"/>
      <c r="K65" s="239"/>
      <c r="L65" s="239"/>
      <c r="M65" s="239"/>
      <c r="N65" s="239"/>
      <c r="O65" s="239"/>
      <c r="P65" s="239"/>
      <c r="Q65" s="239"/>
      <c r="R65" s="239"/>
      <c r="S65" s="239"/>
      <c r="T65" s="240"/>
      <c r="U65" s="241"/>
      <c r="V65" s="425">
        <f t="shared" si="2"/>
        <v>0</v>
      </c>
      <c r="W65" s="17"/>
    </row>
    <row r="66" spans="1:23" ht="12" customHeight="1" x14ac:dyDescent="0.2">
      <c r="A66" s="6"/>
      <c r="B66" s="6"/>
      <c r="C66" s="13"/>
      <c r="D66" s="19">
        <f t="shared" si="1"/>
        <v>55</v>
      </c>
      <c r="E66" s="67" t="str">
        <f>IF(OR('Services - NHC'!E64="",'Services - NHC'!E64="[Enter service]"),"",'Services - NHC'!E64)</f>
        <v/>
      </c>
      <c r="F66" s="68" t="str">
        <f>IF(OR('Services - NHC'!F64="",'Services - NHC'!F64="[Select]"),"",'Services - NHC'!F64)</f>
        <v/>
      </c>
      <c r="G66" s="15"/>
      <c r="H66" s="239"/>
      <c r="I66" s="239"/>
      <c r="J66" s="239"/>
      <c r="K66" s="239"/>
      <c r="L66" s="239"/>
      <c r="M66" s="239"/>
      <c r="N66" s="239"/>
      <c r="O66" s="239"/>
      <c r="P66" s="239"/>
      <c r="Q66" s="239"/>
      <c r="R66" s="239"/>
      <c r="S66" s="239"/>
      <c r="T66" s="240"/>
      <c r="U66" s="241"/>
      <c r="V66" s="425">
        <f t="shared" si="2"/>
        <v>0</v>
      </c>
      <c r="W66" s="17"/>
    </row>
    <row r="67" spans="1:23" ht="12" customHeight="1" x14ac:dyDescent="0.2">
      <c r="A67" s="6"/>
      <c r="B67" s="6"/>
      <c r="C67" s="13"/>
      <c r="D67" s="19">
        <f t="shared" si="1"/>
        <v>56</v>
      </c>
      <c r="E67" s="67" t="str">
        <f>IF(OR('Services - NHC'!E65="",'Services - NHC'!E65="[Enter service]"),"",'Services - NHC'!E65)</f>
        <v/>
      </c>
      <c r="F67" s="68" t="str">
        <f>IF(OR('Services - NHC'!F65="",'Services - NHC'!F65="[Select]"),"",'Services - NHC'!F65)</f>
        <v/>
      </c>
      <c r="G67" s="15"/>
      <c r="H67" s="239"/>
      <c r="I67" s="239"/>
      <c r="J67" s="239"/>
      <c r="K67" s="239"/>
      <c r="L67" s="239"/>
      <c r="M67" s="239"/>
      <c r="N67" s="239"/>
      <c r="O67" s="239"/>
      <c r="P67" s="239"/>
      <c r="Q67" s="239"/>
      <c r="R67" s="239"/>
      <c r="S67" s="239"/>
      <c r="T67" s="240"/>
      <c r="U67" s="241"/>
      <c r="V67" s="425">
        <f t="shared" si="2"/>
        <v>0</v>
      </c>
      <c r="W67" s="17"/>
    </row>
    <row r="68" spans="1:23" ht="12" customHeight="1" x14ac:dyDescent="0.2">
      <c r="A68" s="6"/>
      <c r="B68" s="6"/>
      <c r="C68" s="13"/>
      <c r="D68" s="19">
        <f t="shared" si="1"/>
        <v>57</v>
      </c>
      <c r="E68" s="67" t="str">
        <f>IF(OR('Services - NHC'!E66="",'Services - NHC'!E66="[Enter service]"),"",'Services - NHC'!E66)</f>
        <v/>
      </c>
      <c r="F68" s="68" t="str">
        <f>IF(OR('Services - NHC'!F66="",'Services - NHC'!F66="[Select]"),"",'Services - NHC'!F66)</f>
        <v/>
      </c>
      <c r="G68" s="15"/>
      <c r="H68" s="239"/>
      <c r="I68" s="239"/>
      <c r="J68" s="239"/>
      <c r="K68" s="239"/>
      <c r="L68" s="239"/>
      <c r="M68" s="239"/>
      <c r="N68" s="239"/>
      <c r="O68" s="239"/>
      <c r="P68" s="239"/>
      <c r="Q68" s="239"/>
      <c r="R68" s="239"/>
      <c r="S68" s="239"/>
      <c r="T68" s="240"/>
      <c r="U68" s="241"/>
      <c r="V68" s="425">
        <f t="shared" si="2"/>
        <v>0</v>
      </c>
      <c r="W68" s="17"/>
    </row>
    <row r="69" spans="1:23" ht="12" customHeight="1" x14ac:dyDescent="0.2">
      <c r="A69" s="6"/>
      <c r="B69" s="6"/>
      <c r="C69" s="13"/>
      <c r="D69" s="19">
        <f t="shared" si="1"/>
        <v>58</v>
      </c>
      <c r="E69" s="67" t="str">
        <f>IF(OR('Services - NHC'!E67="",'Services - NHC'!E67="[Enter service]"),"",'Services - NHC'!E67)</f>
        <v/>
      </c>
      <c r="F69" s="68" t="str">
        <f>IF(OR('Services - NHC'!F67="",'Services - NHC'!F67="[Select]"),"",'Services - NHC'!F67)</f>
        <v/>
      </c>
      <c r="G69" s="15"/>
      <c r="H69" s="239"/>
      <c r="I69" s="239"/>
      <c r="J69" s="239"/>
      <c r="K69" s="239"/>
      <c r="L69" s="239"/>
      <c r="M69" s="239"/>
      <c r="N69" s="239"/>
      <c r="O69" s="239"/>
      <c r="P69" s="239"/>
      <c r="Q69" s="239"/>
      <c r="R69" s="239"/>
      <c r="S69" s="239"/>
      <c r="T69" s="240"/>
      <c r="U69" s="241"/>
      <c r="V69" s="425">
        <f t="shared" si="2"/>
        <v>0</v>
      </c>
      <c r="W69" s="17"/>
    </row>
    <row r="70" spans="1:23" ht="12" customHeight="1" x14ac:dyDescent="0.2">
      <c r="A70" s="6"/>
      <c r="B70" s="6"/>
      <c r="C70" s="13"/>
      <c r="D70" s="19">
        <f t="shared" si="1"/>
        <v>59</v>
      </c>
      <c r="E70" s="67" t="str">
        <f>IF(OR('Services - NHC'!E68="",'Services - NHC'!E68="[Enter service]"),"",'Services - NHC'!E68)</f>
        <v/>
      </c>
      <c r="F70" s="68" t="str">
        <f>IF(OR('Services - NHC'!F68="",'Services - NHC'!F68="[Select]"),"",'Services - NHC'!F68)</f>
        <v/>
      </c>
      <c r="G70" s="15"/>
      <c r="H70" s="239"/>
      <c r="I70" s="239"/>
      <c r="J70" s="239"/>
      <c r="K70" s="239"/>
      <c r="L70" s="239"/>
      <c r="M70" s="239"/>
      <c r="N70" s="239"/>
      <c r="O70" s="239"/>
      <c r="P70" s="239"/>
      <c r="Q70" s="239"/>
      <c r="R70" s="239"/>
      <c r="S70" s="239"/>
      <c r="T70" s="240"/>
      <c r="U70" s="241"/>
      <c r="V70" s="425">
        <f t="shared" si="2"/>
        <v>0</v>
      </c>
      <c r="W70" s="17"/>
    </row>
    <row r="71" spans="1:23" ht="12" customHeight="1" x14ac:dyDescent="0.2">
      <c r="A71" s="6"/>
      <c r="B71" s="6"/>
      <c r="C71" s="13"/>
      <c r="D71" s="19">
        <f t="shared" si="1"/>
        <v>60</v>
      </c>
      <c r="E71" s="67" t="str">
        <f>IF(OR('Services - NHC'!E69="",'Services - NHC'!E69="[Enter service]"),"",'Services - NHC'!E69)</f>
        <v/>
      </c>
      <c r="F71" s="68" t="str">
        <f>IF(OR('Services - NHC'!F69="",'Services - NHC'!F69="[Select]"),"",'Services - NHC'!F69)</f>
        <v/>
      </c>
      <c r="G71" s="15"/>
      <c r="H71" s="239"/>
      <c r="I71" s="239"/>
      <c r="J71" s="239"/>
      <c r="K71" s="239"/>
      <c r="L71" s="239"/>
      <c r="M71" s="239"/>
      <c r="N71" s="239"/>
      <c r="O71" s="239"/>
      <c r="P71" s="239"/>
      <c r="Q71" s="239"/>
      <c r="R71" s="239"/>
      <c r="S71" s="239"/>
      <c r="T71" s="240"/>
      <c r="U71" s="241"/>
      <c r="V71" s="425">
        <f t="shared" si="2"/>
        <v>0</v>
      </c>
      <c r="W71" s="17"/>
    </row>
    <row r="72" spans="1:23" ht="12" customHeight="1" x14ac:dyDescent="0.2">
      <c r="A72" s="6"/>
      <c r="B72" s="6"/>
      <c r="C72" s="13"/>
      <c r="D72" s="19">
        <f t="shared" si="1"/>
        <v>61</v>
      </c>
      <c r="E72" s="67" t="str">
        <f>IF(OR('Services - NHC'!E70="",'Services - NHC'!E70="[Enter service]"),"",'Services - NHC'!E70)</f>
        <v/>
      </c>
      <c r="F72" s="68" t="str">
        <f>IF(OR('Services - NHC'!F70="",'Services - NHC'!F70="[Select]"),"",'Services - NHC'!F70)</f>
        <v/>
      </c>
      <c r="G72" s="15"/>
      <c r="H72" s="239"/>
      <c r="I72" s="239"/>
      <c r="J72" s="239"/>
      <c r="K72" s="239"/>
      <c r="L72" s="239"/>
      <c r="M72" s="239"/>
      <c r="N72" s="239"/>
      <c r="O72" s="239"/>
      <c r="P72" s="239"/>
      <c r="Q72" s="239"/>
      <c r="R72" s="239"/>
      <c r="S72" s="239"/>
      <c r="T72" s="240"/>
      <c r="U72" s="241"/>
      <c r="V72" s="425">
        <f t="shared" si="2"/>
        <v>0</v>
      </c>
      <c r="W72" s="17"/>
    </row>
    <row r="73" spans="1:23" ht="12" customHeight="1" x14ac:dyDescent="0.2">
      <c r="A73" s="6"/>
      <c r="B73" s="6"/>
      <c r="C73" s="13"/>
      <c r="D73" s="19">
        <f t="shared" si="1"/>
        <v>62</v>
      </c>
      <c r="E73" s="67" t="str">
        <f>IF(OR('Services - NHC'!E71="",'Services - NHC'!E71="[Enter service]"),"",'Services - NHC'!E71)</f>
        <v/>
      </c>
      <c r="F73" s="68" t="str">
        <f>IF(OR('Services - NHC'!F71="",'Services - NHC'!F71="[Select]"),"",'Services - NHC'!F71)</f>
        <v/>
      </c>
      <c r="G73" s="15"/>
      <c r="H73" s="239"/>
      <c r="I73" s="239"/>
      <c r="J73" s="239"/>
      <c r="K73" s="239"/>
      <c r="L73" s="239"/>
      <c r="M73" s="239"/>
      <c r="N73" s="239"/>
      <c r="O73" s="239"/>
      <c r="P73" s="239"/>
      <c r="Q73" s="239"/>
      <c r="R73" s="239"/>
      <c r="S73" s="239"/>
      <c r="T73" s="240"/>
      <c r="U73" s="241"/>
      <c r="V73" s="425">
        <f t="shared" si="2"/>
        <v>0</v>
      </c>
      <c r="W73" s="17"/>
    </row>
    <row r="74" spans="1:23" ht="12" customHeight="1" x14ac:dyDescent="0.2">
      <c r="A74" s="6"/>
      <c r="B74" s="6"/>
      <c r="C74" s="13"/>
      <c r="D74" s="19">
        <f t="shared" si="1"/>
        <v>63</v>
      </c>
      <c r="E74" s="67" t="str">
        <f>IF(OR('Services - NHC'!E72="",'Services - NHC'!E72="[Enter service]"),"",'Services - NHC'!E72)</f>
        <v/>
      </c>
      <c r="F74" s="68" t="str">
        <f>IF(OR('Services - NHC'!F72="",'Services - NHC'!F72="[Select]"),"",'Services - NHC'!F72)</f>
        <v/>
      </c>
      <c r="G74" s="15"/>
      <c r="H74" s="239"/>
      <c r="I74" s="239"/>
      <c r="J74" s="239"/>
      <c r="K74" s="239"/>
      <c r="L74" s="239"/>
      <c r="M74" s="239"/>
      <c r="N74" s="239"/>
      <c r="O74" s="239"/>
      <c r="P74" s="239"/>
      <c r="Q74" s="239"/>
      <c r="R74" s="239"/>
      <c r="S74" s="239"/>
      <c r="T74" s="240"/>
      <c r="U74" s="241"/>
      <c r="V74" s="425">
        <f t="shared" si="2"/>
        <v>0</v>
      </c>
      <c r="W74" s="17"/>
    </row>
    <row r="75" spans="1:23" ht="12" customHeight="1" x14ac:dyDescent="0.2">
      <c r="A75" s="6"/>
      <c r="B75" s="6"/>
      <c r="C75" s="13"/>
      <c r="D75" s="19">
        <f t="shared" si="1"/>
        <v>64</v>
      </c>
      <c r="E75" s="67" t="str">
        <f>IF(OR('Services - NHC'!E73="",'Services - NHC'!E73="[Enter service]"),"",'Services - NHC'!E73)</f>
        <v/>
      </c>
      <c r="F75" s="68" t="str">
        <f>IF(OR('Services - NHC'!F73="",'Services - NHC'!F73="[Select]"),"",'Services - NHC'!F73)</f>
        <v/>
      </c>
      <c r="G75" s="15"/>
      <c r="H75" s="239"/>
      <c r="I75" s="239"/>
      <c r="J75" s="239"/>
      <c r="K75" s="239"/>
      <c r="L75" s="239"/>
      <c r="M75" s="239"/>
      <c r="N75" s="239"/>
      <c r="O75" s="239"/>
      <c r="P75" s="239"/>
      <c r="Q75" s="239"/>
      <c r="R75" s="239"/>
      <c r="S75" s="239"/>
      <c r="T75" s="240"/>
      <c r="U75" s="241"/>
      <c r="V75" s="425">
        <f t="shared" si="2"/>
        <v>0</v>
      </c>
      <c r="W75" s="17"/>
    </row>
    <row r="76" spans="1:23" ht="12" customHeight="1" x14ac:dyDescent="0.2">
      <c r="A76" s="6"/>
      <c r="B76" s="6"/>
      <c r="C76" s="13"/>
      <c r="D76" s="19">
        <f t="shared" si="1"/>
        <v>65</v>
      </c>
      <c r="E76" s="67" t="str">
        <f>IF(OR('Services - NHC'!E74="",'Services - NHC'!E74="[Enter service]"),"",'Services - NHC'!E74)</f>
        <v/>
      </c>
      <c r="F76" s="68" t="str">
        <f>IF(OR('Services - NHC'!F74="",'Services - NHC'!F74="[Select]"),"",'Services - NHC'!F74)</f>
        <v/>
      </c>
      <c r="G76" s="15"/>
      <c r="H76" s="239"/>
      <c r="I76" s="239"/>
      <c r="J76" s="239"/>
      <c r="K76" s="239"/>
      <c r="L76" s="239"/>
      <c r="M76" s="239"/>
      <c r="N76" s="239"/>
      <c r="O76" s="239"/>
      <c r="P76" s="239"/>
      <c r="Q76" s="239"/>
      <c r="R76" s="239"/>
      <c r="S76" s="239"/>
      <c r="T76" s="240"/>
      <c r="U76" s="241"/>
      <c r="V76" s="425">
        <f t="shared" ref="V76:V107" si="3">SUM(H76:U76)</f>
        <v>0</v>
      </c>
      <c r="W76" s="17"/>
    </row>
    <row r="77" spans="1:23" ht="12" customHeight="1" x14ac:dyDescent="0.2">
      <c r="A77" s="6"/>
      <c r="B77" s="6"/>
      <c r="C77" s="13"/>
      <c r="D77" s="19">
        <f t="shared" si="1"/>
        <v>66</v>
      </c>
      <c r="E77" s="67" t="str">
        <f>IF(OR('Services - NHC'!E75="",'Services - NHC'!E75="[Enter service]"),"",'Services - NHC'!E75)</f>
        <v/>
      </c>
      <c r="F77" s="68" t="str">
        <f>IF(OR('Services - NHC'!F75="",'Services - NHC'!F75="[Select]"),"",'Services - NHC'!F75)</f>
        <v/>
      </c>
      <c r="G77" s="15"/>
      <c r="H77" s="239"/>
      <c r="I77" s="239"/>
      <c r="J77" s="239"/>
      <c r="K77" s="239"/>
      <c r="L77" s="239"/>
      <c r="M77" s="239"/>
      <c r="N77" s="239"/>
      <c r="O77" s="239"/>
      <c r="P77" s="239"/>
      <c r="Q77" s="239"/>
      <c r="R77" s="239"/>
      <c r="S77" s="239"/>
      <c r="T77" s="240"/>
      <c r="U77" s="241"/>
      <c r="V77" s="425">
        <f t="shared" si="3"/>
        <v>0</v>
      </c>
      <c r="W77" s="17"/>
    </row>
    <row r="78" spans="1:23" ht="12" customHeight="1" x14ac:dyDescent="0.2">
      <c r="A78" s="6"/>
      <c r="B78" s="6"/>
      <c r="C78" s="13"/>
      <c r="D78" s="19">
        <f t="shared" si="1"/>
        <v>67</v>
      </c>
      <c r="E78" s="67" t="str">
        <f>IF(OR('Services - NHC'!E76="",'Services - NHC'!E76="[Enter service]"),"",'Services - NHC'!E76)</f>
        <v/>
      </c>
      <c r="F78" s="68" t="str">
        <f>IF(OR('Services - NHC'!F76="",'Services - NHC'!F76="[Select]"),"",'Services - NHC'!F76)</f>
        <v/>
      </c>
      <c r="G78" s="15"/>
      <c r="H78" s="239"/>
      <c r="I78" s="239"/>
      <c r="J78" s="239"/>
      <c r="K78" s="239"/>
      <c r="L78" s="239"/>
      <c r="M78" s="239"/>
      <c r="N78" s="239"/>
      <c r="O78" s="239"/>
      <c r="P78" s="239"/>
      <c r="Q78" s="239"/>
      <c r="R78" s="239"/>
      <c r="S78" s="239"/>
      <c r="T78" s="240"/>
      <c r="U78" s="241"/>
      <c r="V78" s="425">
        <f t="shared" si="3"/>
        <v>0</v>
      </c>
      <c r="W78" s="17"/>
    </row>
    <row r="79" spans="1:23" ht="12" customHeight="1" x14ac:dyDescent="0.2">
      <c r="A79" s="6"/>
      <c r="B79" s="6"/>
      <c r="C79" s="13"/>
      <c r="D79" s="19">
        <f t="shared" si="1"/>
        <v>68</v>
      </c>
      <c r="E79" s="67" t="str">
        <f>IF(OR('Services - NHC'!E77="",'Services - NHC'!E77="[Enter service]"),"",'Services - NHC'!E77)</f>
        <v/>
      </c>
      <c r="F79" s="68" t="str">
        <f>IF(OR('Services - NHC'!F77="",'Services - NHC'!F77="[Select]"),"",'Services - NHC'!F77)</f>
        <v/>
      </c>
      <c r="G79" s="15"/>
      <c r="H79" s="239"/>
      <c r="I79" s="239"/>
      <c r="J79" s="239"/>
      <c r="K79" s="239"/>
      <c r="L79" s="239"/>
      <c r="M79" s="239"/>
      <c r="N79" s="239"/>
      <c r="O79" s="239"/>
      <c r="P79" s="239"/>
      <c r="Q79" s="239"/>
      <c r="R79" s="239"/>
      <c r="S79" s="239"/>
      <c r="T79" s="240"/>
      <c r="U79" s="241"/>
      <c r="V79" s="425">
        <f t="shared" si="3"/>
        <v>0</v>
      </c>
      <c r="W79" s="17"/>
    </row>
    <row r="80" spans="1:23" ht="12" customHeight="1" x14ac:dyDescent="0.2">
      <c r="A80" s="6"/>
      <c r="B80" s="6"/>
      <c r="C80" s="13"/>
      <c r="D80" s="19">
        <f t="shared" si="1"/>
        <v>69</v>
      </c>
      <c r="E80" s="67" t="str">
        <f>IF(OR('Services - NHC'!E78="",'Services - NHC'!E78="[Enter service]"),"",'Services - NHC'!E78)</f>
        <v/>
      </c>
      <c r="F80" s="68" t="str">
        <f>IF(OR('Services - NHC'!F78="",'Services - NHC'!F78="[Select]"),"",'Services - NHC'!F78)</f>
        <v/>
      </c>
      <c r="G80" s="15"/>
      <c r="H80" s="239"/>
      <c r="I80" s="239"/>
      <c r="J80" s="239"/>
      <c r="K80" s="239"/>
      <c r="L80" s="239"/>
      <c r="M80" s="239"/>
      <c r="N80" s="239"/>
      <c r="O80" s="239"/>
      <c r="P80" s="239"/>
      <c r="Q80" s="239"/>
      <c r="R80" s="239"/>
      <c r="S80" s="239"/>
      <c r="T80" s="240"/>
      <c r="U80" s="241"/>
      <c r="V80" s="425">
        <f t="shared" si="3"/>
        <v>0</v>
      </c>
      <c r="W80" s="17"/>
    </row>
    <row r="81" spans="1:23" ht="12" customHeight="1" x14ac:dyDescent="0.2">
      <c r="A81" s="6"/>
      <c r="B81" s="6"/>
      <c r="C81" s="13"/>
      <c r="D81" s="19">
        <f t="shared" si="1"/>
        <v>70</v>
      </c>
      <c r="E81" s="67" t="str">
        <f>IF(OR('Services - NHC'!E79="",'Services - NHC'!E79="[Enter service]"),"",'Services - NHC'!E79)</f>
        <v/>
      </c>
      <c r="F81" s="68" t="str">
        <f>IF(OR('Services - NHC'!F79="",'Services - NHC'!F79="[Select]"),"",'Services - NHC'!F79)</f>
        <v/>
      </c>
      <c r="G81" s="15"/>
      <c r="H81" s="239"/>
      <c r="I81" s="239"/>
      <c r="J81" s="239"/>
      <c r="K81" s="239"/>
      <c r="L81" s="239"/>
      <c r="M81" s="239"/>
      <c r="N81" s="239"/>
      <c r="O81" s="239"/>
      <c r="P81" s="239"/>
      <c r="Q81" s="239"/>
      <c r="R81" s="239"/>
      <c r="S81" s="239"/>
      <c r="T81" s="240"/>
      <c r="U81" s="241"/>
      <c r="V81" s="425">
        <f t="shared" si="3"/>
        <v>0</v>
      </c>
      <c r="W81" s="17"/>
    </row>
    <row r="82" spans="1:23" ht="12" customHeight="1" x14ac:dyDescent="0.2">
      <c r="A82" s="6"/>
      <c r="B82" s="6"/>
      <c r="C82" s="13"/>
      <c r="D82" s="19">
        <f t="shared" si="1"/>
        <v>71</v>
      </c>
      <c r="E82" s="67" t="str">
        <f>IF(OR('Services - NHC'!E80="",'Services - NHC'!E80="[Enter service]"),"",'Services - NHC'!E80)</f>
        <v/>
      </c>
      <c r="F82" s="68" t="str">
        <f>IF(OR('Services - NHC'!F80="",'Services - NHC'!F80="[Select]"),"",'Services - NHC'!F80)</f>
        <v/>
      </c>
      <c r="G82" s="15"/>
      <c r="H82" s="239"/>
      <c r="I82" s="239"/>
      <c r="J82" s="239"/>
      <c r="K82" s="239"/>
      <c r="L82" s="239"/>
      <c r="M82" s="239"/>
      <c r="N82" s="239"/>
      <c r="O82" s="239"/>
      <c r="P82" s="239"/>
      <c r="Q82" s="239"/>
      <c r="R82" s="239"/>
      <c r="S82" s="239"/>
      <c r="T82" s="240"/>
      <c r="U82" s="241"/>
      <c r="V82" s="425">
        <f t="shared" si="3"/>
        <v>0</v>
      </c>
      <c r="W82" s="17"/>
    </row>
    <row r="83" spans="1:23" ht="12" customHeight="1" x14ac:dyDescent="0.2">
      <c r="A83" s="6"/>
      <c r="B83" s="6"/>
      <c r="C83" s="13"/>
      <c r="D83" s="19">
        <f t="shared" si="1"/>
        <v>72</v>
      </c>
      <c r="E83" s="67" t="str">
        <f>IF(OR('Services - NHC'!E81="",'Services - NHC'!E81="[Enter service]"),"",'Services - NHC'!E81)</f>
        <v/>
      </c>
      <c r="F83" s="68" t="str">
        <f>IF(OR('Services - NHC'!F81="",'Services - NHC'!F81="[Select]"),"",'Services - NHC'!F81)</f>
        <v/>
      </c>
      <c r="G83" s="15"/>
      <c r="H83" s="239"/>
      <c r="I83" s="239"/>
      <c r="J83" s="239"/>
      <c r="K83" s="239"/>
      <c r="L83" s="239"/>
      <c r="M83" s="239"/>
      <c r="N83" s="239"/>
      <c r="O83" s="239"/>
      <c r="P83" s="239"/>
      <c r="Q83" s="239"/>
      <c r="R83" s="239"/>
      <c r="S83" s="239"/>
      <c r="T83" s="240"/>
      <c r="U83" s="241"/>
      <c r="V83" s="425">
        <f t="shared" si="3"/>
        <v>0</v>
      </c>
      <c r="W83" s="17"/>
    </row>
    <row r="84" spans="1:23" ht="12" customHeight="1" x14ac:dyDescent="0.2">
      <c r="A84" s="6"/>
      <c r="B84" s="6"/>
      <c r="C84" s="13"/>
      <c r="D84" s="19">
        <f t="shared" si="1"/>
        <v>73</v>
      </c>
      <c r="E84" s="67" t="str">
        <f>IF(OR('Services - NHC'!E82="",'Services - NHC'!E82="[Enter service]"),"",'Services - NHC'!E82)</f>
        <v/>
      </c>
      <c r="F84" s="68" t="str">
        <f>IF(OR('Services - NHC'!F82="",'Services - NHC'!F82="[Select]"),"",'Services - NHC'!F82)</f>
        <v/>
      </c>
      <c r="G84" s="15"/>
      <c r="H84" s="239"/>
      <c r="I84" s="239"/>
      <c r="J84" s="239"/>
      <c r="K84" s="239"/>
      <c r="L84" s="239"/>
      <c r="M84" s="239"/>
      <c r="N84" s="239"/>
      <c r="O84" s="239"/>
      <c r="P84" s="239"/>
      <c r="Q84" s="239"/>
      <c r="R84" s="239"/>
      <c r="S84" s="239"/>
      <c r="T84" s="240"/>
      <c r="U84" s="241"/>
      <c r="V84" s="425">
        <f t="shared" si="3"/>
        <v>0</v>
      </c>
      <c r="W84" s="17"/>
    </row>
    <row r="85" spans="1:23" ht="12" customHeight="1" x14ac:dyDescent="0.2">
      <c r="A85" s="6"/>
      <c r="B85" s="6"/>
      <c r="C85" s="13"/>
      <c r="D85" s="19">
        <f t="shared" si="1"/>
        <v>74</v>
      </c>
      <c r="E85" s="67" t="str">
        <f>IF(OR('Services - NHC'!E83="",'Services - NHC'!E83="[Enter service]"),"",'Services - NHC'!E83)</f>
        <v/>
      </c>
      <c r="F85" s="68" t="str">
        <f>IF(OR('Services - NHC'!F83="",'Services - NHC'!F83="[Select]"),"",'Services - NHC'!F83)</f>
        <v/>
      </c>
      <c r="G85" s="15"/>
      <c r="H85" s="239"/>
      <c r="I85" s="239"/>
      <c r="J85" s="239"/>
      <c r="K85" s="239"/>
      <c r="L85" s="239"/>
      <c r="M85" s="239"/>
      <c r="N85" s="239"/>
      <c r="O85" s="239"/>
      <c r="P85" s="239"/>
      <c r="Q85" s="239"/>
      <c r="R85" s="239"/>
      <c r="S85" s="239"/>
      <c r="T85" s="240"/>
      <c r="U85" s="241"/>
      <c r="V85" s="425">
        <f t="shared" si="3"/>
        <v>0</v>
      </c>
      <c r="W85" s="17"/>
    </row>
    <row r="86" spans="1:23" ht="12" customHeight="1" x14ac:dyDescent="0.2">
      <c r="A86" s="6"/>
      <c r="B86" s="6"/>
      <c r="C86" s="13"/>
      <c r="D86" s="19">
        <f t="shared" si="1"/>
        <v>75</v>
      </c>
      <c r="E86" s="67" t="str">
        <f>IF(OR('Services - NHC'!E84="",'Services - NHC'!E84="[Enter service]"),"",'Services - NHC'!E84)</f>
        <v/>
      </c>
      <c r="F86" s="68" t="str">
        <f>IF(OR('Services - NHC'!F84="",'Services - NHC'!F84="[Select]"),"",'Services - NHC'!F84)</f>
        <v/>
      </c>
      <c r="G86" s="15"/>
      <c r="H86" s="239"/>
      <c r="I86" s="239"/>
      <c r="J86" s="239"/>
      <c r="K86" s="239"/>
      <c r="L86" s="239"/>
      <c r="M86" s="239"/>
      <c r="N86" s="239"/>
      <c r="O86" s="239"/>
      <c r="P86" s="239"/>
      <c r="Q86" s="239"/>
      <c r="R86" s="239"/>
      <c r="S86" s="239"/>
      <c r="T86" s="240"/>
      <c r="U86" s="241"/>
      <c r="V86" s="425">
        <f t="shared" si="3"/>
        <v>0</v>
      </c>
      <c r="W86" s="17"/>
    </row>
    <row r="87" spans="1:23" ht="12" customHeight="1" x14ac:dyDescent="0.2">
      <c r="A87" s="6"/>
      <c r="B87" s="6"/>
      <c r="C87" s="13"/>
      <c r="D87" s="19">
        <f t="shared" si="1"/>
        <v>76</v>
      </c>
      <c r="E87" s="67" t="str">
        <f>IF(OR('Services - NHC'!E85="",'Services - NHC'!E85="[Enter service]"),"",'Services - NHC'!E85)</f>
        <v/>
      </c>
      <c r="F87" s="68" t="str">
        <f>IF(OR('Services - NHC'!F85="",'Services - NHC'!F85="[Select]"),"",'Services - NHC'!F85)</f>
        <v/>
      </c>
      <c r="G87" s="15"/>
      <c r="H87" s="239"/>
      <c r="I87" s="239"/>
      <c r="J87" s="239"/>
      <c r="K87" s="239"/>
      <c r="L87" s="239"/>
      <c r="M87" s="239"/>
      <c r="N87" s="239"/>
      <c r="O87" s="239"/>
      <c r="P87" s="239"/>
      <c r="Q87" s="239"/>
      <c r="R87" s="239"/>
      <c r="S87" s="239"/>
      <c r="T87" s="240"/>
      <c r="U87" s="241"/>
      <c r="V87" s="425">
        <f t="shared" si="3"/>
        <v>0</v>
      </c>
      <c r="W87" s="17"/>
    </row>
    <row r="88" spans="1:23" ht="12" customHeight="1" x14ac:dyDescent="0.2">
      <c r="A88" s="6"/>
      <c r="B88" s="6"/>
      <c r="C88" s="13"/>
      <c r="D88" s="19">
        <f t="shared" si="1"/>
        <v>77</v>
      </c>
      <c r="E88" s="67" t="str">
        <f>IF(OR('Services - NHC'!E86="",'Services - NHC'!E86="[Enter service]"),"",'Services - NHC'!E86)</f>
        <v/>
      </c>
      <c r="F88" s="68" t="str">
        <f>IF(OR('Services - NHC'!F86="",'Services - NHC'!F86="[Select]"),"",'Services - NHC'!F86)</f>
        <v/>
      </c>
      <c r="G88" s="15"/>
      <c r="H88" s="239"/>
      <c r="I88" s="239"/>
      <c r="J88" s="239"/>
      <c r="K88" s="239"/>
      <c r="L88" s="239"/>
      <c r="M88" s="239"/>
      <c r="N88" s="239"/>
      <c r="O88" s="239"/>
      <c r="P88" s="239"/>
      <c r="Q88" s="239"/>
      <c r="R88" s="239"/>
      <c r="S88" s="239"/>
      <c r="T88" s="240"/>
      <c r="U88" s="241"/>
      <c r="V88" s="425">
        <f t="shared" si="3"/>
        <v>0</v>
      </c>
      <c r="W88" s="17"/>
    </row>
    <row r="89" spans="1:23" ht="12" customHeight="1" x14ac:dyDescent="0.2">
      <c r="A89" s="6"/>
      <c r="B89" s="6"/>
      <c r="C89" s="13"/>
      <c r="D89" s="19">
        <f t="shared" si="1"/>
        <v>78</v>
      </c>
      <c r="E89" s="67" t="str">
        <f>IF(OR('Services - NHC'!E87="",'Services - NHC'!E87="[Enter service]"),"",'Services - NHC'!E87)</f>
        <v/>
      </c>
      <c r="F89" s="68" t="str">
        <f>IF(OR('Services - NHC'!F87="",'Services - NHC'!F87="[Select]"),"",'Services - NHC'!F87)</f>
        <v/>
      </c>
      <c r="G89" s="15"/>
      <c r="H89" s="239"/>
      <c r="I89" s="239"/>
      <c r="J89" s="239"/>
      <c r="K89" s="239"/>
      <c r="L89" s="239"/>
      <c r="M89" s="239"/>
      <c r="N89" s="239"/>
      <c r="O89" s="239"/>
      <c r="P89" s="239"/>
      <c r="Q89" s="239"/>
      <c r="R89" s="239"/>
      <c r="S89" s="239"/>
      <c r="T89" s="240"/>
      <c r="U89" s="241"/>
      <c r="V89" s="425">
        <f t="shared" si="3"/>
        <v>0</v>
      </c>
      <c r="W89" s="17"/>
    </row>
    <row r="90" spans="1:23" ht="12" customHeight="1" x14ac:dyDescent="0.2">
      <c r="A90" s="6"/>
      <c r="B90" s="6"/>
      <c r="C90" s="13"/>
      <c r="D90" s="19">
        <f t="shared" si="1"/>
        <v>79</v>
      </c>
      <c r="E90" s="67" t="str">
        <f>IF(OR('Services - NHC'!E88="",'Services - NHC'!E88="[Enter service]"),"",'Services - NHC'!E88)</f>
        <v/>
      </c>
      <c r="F90" s="68" t="str">
        <f>IF(OR('Services - NHC'!F88="",'Services - NHC'!F88="[Select]"),"",'Services - NHC'!F88)</f>
        <v/>
      </c>
      <c r="G90" s="15"/>
      <c r="H90" s="239"/>
      <c r="I90" s="239"/>
      <c r="J90" s="239"/>
      <c r="K90" s="239"/>
      <c r="L90" s="239"/>
      <c r="M90" s="239"/>
      <c r="N90" s="239"/>
      <c r="O90" s="239"/>
      <c r="P90" s="239"/>
      <c r="Q90" s="239"/>
      <c r="R90" s="239"/>
      <c r="S90" s="239"/>
      <c r="T90" s="240"/>
      <c r="U90" s="241"/>
      <c r="V90" s="425">
        <f t="shared" si="3"/>
        <v>0</v>
      </c>
      <c r="W90" s="17"/>
    </row>
    <row r="91" spans="1:23" ht="12" customHeight="1" x14ac:dyDescent="0.2">
      <c r="A91" s="6"/>
      <c r="B91" s="6"/>
      <c r="C91" s="13"/>
      <c r="D91" s="19">
        <f t="shared" si="1"/>
        <v>80</v>
      </c>
      <c r="E91" s="67" t="str">
        <f>IF(OR('Services - NHC'!E89="",'Services - NHC'!E89="[Enter service]"),"",'Services - NHC'!E89)</f>
        <v/>
      </c>
      <c r="F91" s="68" t="str">
        <f>IF(OR('Services - NHC'!F89="",'Services - NHC'!F89="[Select]"),"",'Services - NHC'!F89)</f>
        <v/>
      </c>
      <c r="G91" s="15"/>
      <c r="H91" s="239"/>
      <c r="I91" s="239"/>
      <c r="J91" s="239"/>
      <c r="K91" s="239"/>
      <c r="L91" s="239"/>
      <c r="M91" s="239"/>
      <c r="N91" s="239"/>
      <c r="O91" s="239"/>
      <c r="P91" s="239"/>
      <c r="Q91" s="239"/>
      <c r="R91" s="239"/>
      <c r="S91" s="239"/>
      <c r="T91" s="240"/>
      <c r="U91" s="241"/>
      <c r="V91" s="425">
        <f t="shared" si="3"/>
        <v>0</v>
      </c>
      <c r="W91" s="17"/>
    </row>
    <row r="92" spans="1:23" ht="12" customHeight="1" x14ac:dyDescent="0.2">
      <c r="A92" s="6"/>
      <c r="B92" s="6"/>
      <c r="C92" s="13"/>
      <c r="D92" s="19">
        <f t="shared" si="1"/>
        <v>81</v>
      </c>
      <c r="E92" s="67" t="str">
        <f>IF(OR('Services - NHC'!E90="",'Services - NHC'!E90="[Enter service]"),"",'Services - NHC'!E90)</f>
        <v/>
      </c>
      <c r="F92" s="68" t="str">
        <f>IF(OR('Services - NHC'!F90="",'Services - NHC'!F90="[Select]"),"",'Services - NHC'!F90)</f>
        <v/>
      </c>
      <c r="G92" s="15"/>
      <c r="H92" s="239"/>
      <c r="I92" s="239"/>
      <c r="J92" s="239"/>
      <c r="K92" s="239"/>
      <c r="L92" s="239"/>
      <c r="M92" s="239"/>
      <c r="N92" s="239"/>
      <c r="O92" s="239"/>
      <c r="P92" s="239"/>
      <c r="Q92" s="239"/>
      <c r="R92" s="239"/>
      <c r="S92" s="239"/>
      <c r="T92" s="240"/>
      <c r="U92" s="241"/>
      <c r="V92" s="425">
        <f t="shared" si="3"/>
        <v>0</v>
      </c>
      <c r="W92" s="17"/>
    </row>
    <row r="93" spans="1:23" ht="12" customHeight="1" x14ac:dyDescent="0.2">
      <c r="A93" s="6"/>
      <c r="B93" s="6"/>
      <c r="C93" s="13"/>
      <c r="D93" s="19">
        <f t="shared" si="1"/>
        <v>82</v>
      </c>
      <c r="E93" s="67" t="str">
        <f>IF(OR('Services - NHC'!E91="",'Services - NHC'!E91="[Enter service]"),"",'Services - NHC'!E91)</f>
        <v/>
      </c>
      <c r="F93" s="68" t="str">
        <f>IF(OR('Services - NHC'!F91="",'Services - NHC'!F91="[Select]"),"",'Services - NHC'!F91)</f>
        <v/>
      </c>
      <c r="G93" s="15"/>
      <c r="H93" s="239"/>
      <c r="I93" s="239"/>
      <c r="J93" s="239"/>
      <c r="K93" s="239"/>
      <c r="L93" s="239"/>
      <c r="M93" s="239"/>
      <c r="N93" s="239"/>
      <c r="O93" s="239"/>
      <c r="P93" s="239"/>
      <c r="Q93" s="239"/>
      <c r="R93" s="239"/>
      <c r="S93" s="239"/>
      <c r="T93" s="240"/>
      <c r="U93" s="241"/>
      <c r="V93" s="425">
        <f t="shared" si="3"/>
        <v>0</v>
      </c>
      <c r="W93" s="17"/>
    </row>
    <row r="94" spans="1:23" ht="12" customHeight="1" x14ac:dyDescent="0.2">
      <c r="A94" s="6"/>
      <c r="B94" s="6"/>
      <c r="C94" s="13"/>
      <c r="D94" s="19">
        <f t="shared" si="1"/>
        <v>83</v>
      </c>
      <c r="E94" s="67" t="str">
        <f>IF(OR('Services - NHC'!E92="",'Services - NHC'!E92="[Enter service]"),"",'Services - NHC'!E92)</f>
        <v/>
      </c>
      <c r="F94" s="68" t="str">
        <f>IF(OR('Services - NHC'!F92="",'Services - NHC'!F92="[Select]"),"",'Services - NHC'!F92)</f>
        <v/>
      </c>
      <c r="G94" s="15"/>
      <c r="H94" s="239"/>
      <c r="I94" s="239"/>
      <c r="J94" s="239"/>
      <c r="K94" s="239"/>
      <c r="L94" s="239"/>
      <c r="M94" s="239"/>
      <c r="N94" s="239"/>
      <c r="O94" s="239"/>
      <c r="P94" s="239"/>
      <c r="Q94" s="239"/>
      <c r="R94" s="239"/>
      <c r="S94" s="239"/>
      <c r="T94" s="240"/>
      <c r="U94" s="241"/>
      <c r="V94" s="425">
        <f t="shared" si="3"/>
        <v>0</v>
      </c>
      <c r="W94" s="17"/>
    </row>
    <row r="95" spans="1:23" ht="12" customHeight="1" x14ac:dyDescent="0.2">
      <c r="A95" s="6"/>
      <c r="B95" s="6"/>
      <c r="C95" s="13"/>
      <c r="D95" s="19">
        <f t="shared" si="1"/>
        <v>84</v>
      </c>
      <c r="E95" s="67" t="str">
        <f>IF(OR('Services - NHC'!E93="",'Services - NHC'!E93="[Enter service]"),"",'Services - NHC'!E93)</f>
        <v/>
      </c>
      <c r="F95" s="68" t="str">
        <f>IF(OR('Services - NHC'!F93="",'Services - NHC'!F93="[Select]"),"",'Services - NHC'!F93)</f>
        <v/>
      </c>
      <c r="G95" s="15"/>
      <c r="H95" s="239"/>
      <c r="I95" s="239"/>
      <c r="J95" s="239"/>
      <c r="K95" s="239"/>
      <c r="L95" s="239"/>
      <c r="M95" s="239"/>
      <c r="N95" s="239"/>
      <c r="O95" s="239"/>
      <c r="P95" s="239"/>
      <c r="Q95" s="239"/>
      <c r="R95" s="239"/>
      <c r="S95" s="239"/>
      <c r="T95" s="240"/>
      <c r="U95" s="241"/>
      <c r="V95" s="425">
        <f t="shared" si="3"/>
        <v>0</v>
      </c>
      <c r="W95" s="17"/>
    </row>
    <row r="96" spans="1:23" ht="12" customHeight="1" x14ac:dyDescent="0.2">
      <c r="A96" s="6"/>
      <c r="B96" s="6"/>
      <c r="C96" s="13"/>
      <c r="D96" s="19">
        <f t="shared" si="1"/>
        <v>85</v>
      </c>
      <c r="E96" s="67" t="str">
        <f>IF(OR('Services - NHC'!E94="",'Services - NHC'!E94="[Enter service]"),"",'Services - NHC'!E94)</f>
        <v/>
      </c>
      <c r="F96" s="68" t="str">
        <f>IF(OR('Services - NHC'!F94="",'Services - NHC'!F94="[Select]"),"",'Services - NHC'!F94)</f>
        <v/>
      </c>
      <c r="G96" s="15"/>
      <c r="H96" s="239"/>
      <c r="I96" s="239"/>
      <c r="J96" s="239"/>
      <c r="K96" s="239"/>
      <c r="L96" s="239"/>
      <c r="M96" s="239"/>
      <c r="N96" s="239"/>
      <c r="O96" s="239"/>
      <c r="P96" s="239"/>
      <c r="Q96" s="239"/>
      <c r="R96" s="239"/>
      <c r="S96" s="239"/>
      <c r="T96" s="240"/>
      <c r="U96" s="241"/>
      <c r="V96" s="425">
        <f t="shared" si="3"/>
        <v>0</v>
      </c>
      <c r="W96" s="17"/>
    </row>
    <row r="97" spans="1:23" ht="12" customHeight="1" x14ac:dyDescent="0.2">
      <c r="A97" s="6"/>
      <c r="B97" s="6"/>
      <c r="C97" s="13"/>
      <c r="D97" s="19">
        <f t="shared" si="1"/>
        <v>86</v>
      </c>
      <c r="E97" s="67" t="str">
        <f>IF(OR('Services - NHC'!E95="",'Services - NHC'!E95="[Enter service]"),"",'Services - NHC'!E95)</f>
        <v/>
      </c>
      <c r="F97" s="68" t="str">
        <f>IF(OR('Services - NHC'!F95="",'Services - NHC'!F95="[Select]"),"",'Services - NHC'!F95)</f>
        <v/>
      </c>
      <c r="G97" s="15"/>
      <c r="H97" s="239"/>
      <c r="I97" s="239"/>
      <c r="J97" s="239"/>
      <c r="K97" s="239"/>
      <c r="L97" s="239"/>
      <c r="M97" s="239"/>
      <c r="N97" s="239"/>
      <c r="O97" s="239"/>
      <c r="P97" s="239"/>
      <c r="Q97" s="239"/>
      <c r="R97" s="239"/>
      <c r="S97" s="239"/>
      <c r="T97" s="240"/>
      <c r="U97" s="241"/>
      <c r="V97" s="425">
        <f t="shared" si="3"/>
        <v>0</v>
      </c>
      <c r="W97" s="17"/>
    </row>
    <row r="98" spans="1:23" ht="12" customHeight="1" x14ac:dyDescent="0.2">
      <c r="A98" s="6"/>
      <c r="B98" s="6"/>
      <c r="C98" s="13"/>
      <c r="D98" s="19">
        <f t="shared" si="1"/>
        <v>87</v>
      </c>
      <c r="E98" s="67" t="str">
        <f>IF(OR('Services - NHC'!E96="",'Services - NHC'!E96="[Enter service]"),"",'Services - NHC'!E96)</f>
        <v/>
      </c>
      <c r="F98" s="68" t="str">
        <f>IF(OR('Services - NHC'!F96="",'Services - NHC'!F96="[Select]"),"",'Services - NHC'!F96)</f>
        <v/>
      </c>
      <c r="G98" s="15"/>
      <c r="H98" s="239"/>
      <c r="I98" s="239"/>
      <c r="J98" s="239"/>
      <c r="K98" s="239"/>
      <c r="L98" s="239"/>
      <c r="M98" s="239"/>
      <c r="N98" s="239"/>
      <c r="O98" s="239"/>
      <c r="P98" s="239"/>
      <c r="Q98" s="239"/>
      <c r="R98" s="239"/>
      <c r="S98" s="239"/>
      <c r="T98" s="240"/>
      <c r="U98" s="241"/>
      <c r="V98" s="425">
        <f t="shared" si="3"/>
        <v>0</v>
      </c>
      <c r="W98" s="17"/>
    </row>
    <row r="99" spans="1:23" ht="12" customHeight="1" x14ac:dyDescent="0.2">
      <c r="A99" s="6"/>
      <c r="B99" s="6"/>
      <c r="C99" s="13"/>
      <c r="D99" s="19">
        <f t="shared" si="1"/>
        <v>88</v>
      </c>
      <c r="E99" s="67" t="str">
        <f>IF(OR('Services - NHC'!E97="",'Services - NHC'!E97="[Enter service]"),"",'Services - NHC'!E97)</f>
        <v/>
      </c>
      <c r="F99" s="68" t="str">
        <f>IF(OR('Services - NHC'!F97="",'Services - NHC'!F97="[Select]"),"",'Services - NHC'!F97)</f>
        <v/>
      </c>
      <c r="G99" s="15"/>
      <c r="H99" s="239"/>
      <c r="I99" s="239"/>
      <c r="J99" s="239"/>
      <c r="K99" s="239"/>
      <c r="L99" s="239"/>
      <c r="M99" s="239"/>
      <c r="N99" s="239"/>
      <c r="O99" s="239"/>
      <c r="P99" s="239"/>
      <c r="Q99" s="239"/>
      <c r="R99" s="239"/>
      <c r="S99" s="239"/>
      <c r="T99" s="240"/>
      <c r="U99" s="241"/>
      <c r="V99" s="425">
        <f t="shared" si="3"/>
        <v>0</v>
      </c>
      <c r="W99" s="17"/>
    </row>
    <row r="100" spans="1:23" ht="12" customHeight="1" x14ac:dyDescent="0.2">
      <c r="A100" s="6"/>
      <c r="B100" s="6"/>
      <c r="C100" s="13"/>
      <c r="D100" s="19">
        <f t="shared" si="1"/>
        <v>89</v>
      </c>
      <c r="E100" s="67" t="str">
        <f>IF(OR('Services - NHC'!E98="",'Services - NHC'!E98="[Enter service]"),"",'Services - NHC'!E98)</f>
        <v/>
      </c>
      <c r="F100" s="68" t="str">
        <f>IF(OR('Services - NHC'!F98="",'Services - NHC'!F98="[Select]"),"",'Services - NHC'!F98)</f>
        <v/>
      </c>
      <c r="G100" s="15"/>
      <c r="H100" s="239"/>
      <c r="I100" s="239"/>
      <c r="J100" s="239"/>
      <c r="K100" s="239"/>
      <c r="L100" s="239"/>
      <c r="M100" s="239"/>
      <c r="N100" s="239"/>
      <c r="O100" s="239"/>
      <c r="P100" s="239"/>
      <c r="Q100" s="239"/>
      <c r="R100" s="239"/>
      <c r="S100" s="239"/>
      <c r="T100" s="240"/>
      <c r="U100" s="241"/>
      <c r="V100" s="425">
        <f t="shared" si="3"/>
        <v>0</v>
      </c>
      <c r="W100" s="17"/>
    </row>
    <row r="101" spans="1:23" ht="12" customHeight="1" x14ac:dyDescent="0.2">
      <c r="A101" s="6"/>
      <c r="B101" s="6"/>
      <c r="C101" s="13"/>
      <c r="D101" s="19">
        <f t="shared" si="1"/>
        <v>90</v>
      </c>
      <c r="E101" s="67" t="str">
        <f>IF(OR('Services - NHC'!E99="",'Services - NHC'!E99="[Enter service]"),"",'Services - NHC'!E99)</f>
        <v/>
      </c>
      <c r="F101" s="68" t="str">
        <f>IF(OR('Services - NHC'!F99="",'Services - NHC'!F99="[Select]"),"",'Services - NHC'!F99)</f>
        <v/>
      </c>
      <c r="G101" s="15"/>
      <c r="H101" s="239"/>
      <c r="I101" s="239"/>
      <c r="J101" s="239"/>
      <c r="K101" s="239"/>
      <c r="L101" s="239"/>
      <c r="M101" s="239"/>
      <c r="N101" s="239"/>
      <c r="O101" s="239"/>
      <c r="P101" s="239"/>
      <c r="Q101" s="239"/>
      <c r="R101" s="239"/>
      <c r="S101" s="239"/>
      <c r="T101" s="240"/>
      <c r="U101" s="241"/>
      <c r="V101" s="425">
        <f t="shared" si="3"/>
        <v>0</v>
      </c>
      <c r="W101" s="17"/>
    </row>
    <row r="102" spans="1:23" ht="12" customHeight="1" x14ac:dyDescent="0.2">
      <c r="A102" s="6"/>
      <c r="B102" s="6"/>
      <c r="C102" s="13"/>
      <c r="D102" s="19">
        <f t="shared" si="1"/>
        <v>91</v>
      </c>
      <c r="E102" s="67" t="str">
        <f>IF(OR('Services - NHC'!E100="",'Services - NHC'!E100="[Enter service]"),"",'Services - NHC'!E100)</f>
        <v/>
      </c>
      <c r="F102" s="68" t="str">
        <f>IF(OR('Services - NHC'!F100="",'Services - NHC'!F100="[Select]"),"",'Services - NHC'!F100)</f>
        <v/>
      </c>
      <c r="G102" s="15"/>
      <c r="H102" s="239"/>
      <c r="I102" s="239"/>
      <c r="J102" s="239"/>
      <c r="K102" s="239"/>
      <c r="L102" s="239"/>
      <c r="M102" s="239"/>
      <c r="N102" s="239"/>
      <c r="O102" s="239"/>
      <c r="P102" s="239"/>
      <c r="Q102" s="239"/>
      <c r="R102" s="239"/>
      <c r="S102" s="239"/>
      <c r="T102" s="240"/>
      <c r="U102" s="241"/>
      <c r="V102" s="425">
        <f t="shared" si="3"/>
        <v>0</v>
      </c>
      <c r="W102" s="17"/>
    </row>
    <row r="103" spans="1:23" ht="12" customHeight="1" x14ac:dyDescent="0.2">
      <c r="A103" s="6"/>
      <c r="B103" s="6"/>
      <c r="C103" s="13"/>
      <c r="D103" s="19">
        <f t="shared" si="1"/>
        <v>92</v>
      </c>
      <c r="E103" s="67" t="str">
        <f>IF(OR('Services - NHC'!E101="",'Services - NHC'!E101="[Enter service]"),"",'Services - NHC'!E101)</f>
        <v/>
      </c>
      <c r="F103" s="68" t="str">
        <f>IF(OR('Services - NHC'!F101="",'Services - NHC'!F101="[Select]"),"",'Services - NHC'!F101)</f>
        <v/>
      </c>
      <c r="G103" s="15"/>
      <c r="H103" s="239"/>
      <c r="I103" s="239"/>
      <c r="J103" s="239"/>
      <c r="K103" s="239"/>
      <c r="L103" s="239"/>
      <c r="M103" s="239"/>
      <c r="N103" s="239"/>
      <c r="O103" s="239"/>
      <c r="P103" s="239"/>
      <c r="Q103" s="239"/>
      <c r="R103" s="239"/>
      <c r="S103" s="239"/>
      <c r="T103" s="240"/>
      <c r="U103" s="241"/>
      <c r="V103" s="425">
        <f t="shared" si="3"/>
        <v>0</v>
      </c>
      <c r="W103" s="17"/>
    </row>
    <row r="104" spans="1:23" ht="12" customHeight="1" x14ac:dyDescent="0.2">
      <c r="A104" s="6"/>
      <c r="B104" s="6"/>
      <c r="C104" s="13"/>
      <c r="D104" s="19">
        <f t="shared" si="1"/>
        <v>93</v>
      </c>
      <c r="E104" s="67" t="str">
        <f>IF(OR('Services - NHC'!E102="",'Services - NHC'!E102="[Enter service]"),"",'Services - NHC'!E102)</f>
        <v/>
      </c>
      <c r="F104" s="68" t="str">
        <f>IF(OR('Services - NHC'!F102="",'Services - NHC'!F102="[Select]"),"",'Services - NHC'!F102)</f>
        <v/>
      </c>
      <c r="G104" s="15"/>
      <c r="H104" s="239"/>
      <c r="I104" s="239"/>
      <c r="J104" s="239"/>
      <c r="K104" s="239"/>
      <c r="L104" s="239"/>
      <c r="M104" s="239"/>
      <c r="N104" s="239"/>
      <c r="O104" s="239"/>
      <c r="P104" s="239"/>
      <c r="Q104" s="239"/>
      <c r="R104" s="239"/>
      <c r="S104" s="239"/>
      <c r="T104" s="240"/>
      <c r="U104" s="241"/>
      <c r="V104" s="425">
        <f t="shared" si="3"/>
        <v>0</v>
      </c>
      <c r="W104" s="17"/>
    </row>
    <row r="105" spans="1:23" ht="12" customHeight="1" x14ac:dyDescent="0.2">
      <c r="A105" s="6"/>
      <c r="B105" s="6"/>
      <c r="C105" s="13"/>
      <c r="D105" s="19">
        <f t="shared" si="1"/>
        <v>94</v>
      </c>
      <c r="E105" s="67" t="str">
        <f>IF(OR('Services - NHC'!E103="",'Services - NHC'!E103="[Enter service]"),"",'Services - NHC'!E103)</f>
        <v/>
      </c>
      <c r="F105" s="68" t="str">
        <f>IF(OR('Services - NHC'!F103="",'Services - NHC'!F103="[Select]"),"",'Services - NHC'!F103)</f>
        <v/>
      </c>
      <c r="G105" s="15"/>
      <c r="H105" s="239"/>
      <c r="I105" s="239"/>
      <c r="J105" s="239"/>
      <c r="K105" s="239"/>
      <c r="L105" s="239"/>
      <c r="M105" s="239"/>
      <c r="N105" s="239"/>
      <c r="O105" s="239"/>
      <c r="P105" s="239"/>
      <c r="Q105" s="239"/>
      <c r="R105" s="239"/>
      <c r="S105" s="239"/>
      <c r="T105" s="240"/>
      <c r="U105" s="241"/>
      <c r="V105" s="425">
        <f t="shared" si="3"/>
        <v>0</v>
      </c>
      <c r="W105" s="17"/>
    </row>
    <row r="106" spans="1:23" ht="12" customHeight="1" x14ac:dyDescent="0.2">
      <c r="A106" s="6"/>
      <c r="B106" s="6"/>
      <c r="C106" s="13"/>
      <c r="D106" s="19">
        <f t="shared" si="1"/>
        <v>95</v>
      </c>
      <c r="E106" s="67" t="str">
        <f>IF(OR('Services - NHC'!E104="",'Services - NHC'!E104="[Enter service]"),"",'Services - NHC'!E104)</f>
        <v/>
      </c>
      <c r="F106" s="68" t="str">
        <f>IF(OR('Services - NHC'!F104="",'Services - NHC'!F104="[Select]"),"",'Services - NHC'!F104)</f>
        <v/>
      </c>
      <c r="G106" s="15"/>
      <c r="H106" s="239"/>
      <c r="I106" s="239"/>
      <c r="J106" s="239"/>
      <c r="K106" s="239"/>
      <c r="L106" s="239"/>
      <c r="M106" s="239"/>
      <c r="N106" s="239"/>
      <c r="O106" s="239"/>
      <c r="P106" s="239"/>
      <c r="Q106" s="239"/>
      <c r="R106" s="239"/>
      <c r="S106" s="239"/>
      <c r="T106" s="240"/>
      <c r="U106" s="241"/>
      <c r="V106" s="425">
        <f t="shared" si="3"/>
        <v>0</v>
      </c>
      <c r="W106" s="17"/>
    </row>
    <row r="107" spans="1:23" ht="12" customHeight="1" x14ac:dyDescent="0.2">
      <c r="A107" s="6"/>
      <c r="B107" s="6"/>
      <c r="C107" s="13"/>
      <c r="D107" s="19">
        <f t="shared" si="1"/>
        <v>96</v>
      </c>
      <c r="E107" s="67" t="str">
        <f>IF(OR('Services - NHC'!E105="",'Services - NHC'!E105="[Enter service]"),"",'Services - NHC'!E105)</f>
        <v/>
      </c>
      <c r="F107" s="68" t="str">
        <f>IF(OR('Services - NHC'!F105="",'Services - NHC'!F105="[Select]"),"",'Services - NHC'!F105)</f>
        <v/>
      </c>
      <c r="G107" s="15"/>
      <c r="H107" s="239"/>
      <c r="I107" s="239"/>
      <c r="J107" s="239"/>
      <c r="K107" s="239"/>
      <c r="L107" s="239"/>
      <c r="M107" s="239"/>
      <c r="N107" s="239"/>
      <c r="O107" s="239"/>
      <c r="P107" s="239"/>
      <c r="Q107" s="239"/>
      <c r="R107" s="239"/>
      <c r="S107" s="239"/>
      <c r="T107" s="240"/>
      <c r="U107" s="241"/>
      <c r="V107" s="425">
        <f t="shared" si="3"/>
        <v>0</v>
      </c>
      <c r="W107" s="17"/>
    </row>
    <row r="108" spans="1:23" ht="12" customHeight="1" x14ac:dyDescent="0.2">
      <c r="A108" s="6"/>
      <c r="B108" s="6"/>
      <c r="C108" s="13"/>
      <c r="D108" s="19">
        <f t="shared" si="1"/>
        <v>97</v>
      </c>
      <c r="E108" s="67" t="str">
        <f>IF(OR('Services - NHC'!E106="",'Services - NHC'!E106="[Enter service]"),"",'Services - NHC'!E106)</f>
        <v/>
      </c>
      <c r="F108" s="68" t="str">
        <f>IF(OR('Services - NHC'!F106="",'Services - NHC'!F106="[Select]"),"",'Services - NHC'!F106)</f>
        <v/>
      </c>
      <c r="G108" s="15"/>
      <c r="H108" s="239"/>
      <c r="I108" s="239"/>
      <c r="J108" s="239"/>
      <c r="K108" s="239"/>
      <c r="L108" s="239"/>
      <c r="M108" s="239"/>
      <c r="N108" s="239"/>
      <c r="O108" s="239"/>
      <c r="P108" s="239"/>
      <c r="Q108" s="239"/>
      <c r="R108" s="239"/>
      <c r="S108" s="239"/>
      <c r="T108" s="240"/>
      <c r="U108" s="241"/>
      <c r="V108" s="425">
        <f t="shared" ref="V108:V139" si="4">SUM(H108:U108)</f>
        <v>0</v>
      </c>
      <c r="W108" s="17"/>
    </row>
    <row r="109" spans="1:23" ht="12" customHeight="1" x14ac:dyDescent="0.2">
      <c r="A109" s="6"/>
      <c r="B109" s="6"/>
      <c r="C109" s="13"/>
      <c r="D109" s="19">
        <f t="shared" si="1"/>
        <v>98</v>
      </c>
      <c r="E109" s="67" t="str">
        <f>IF(OR('Services - NHC'!E107="",'Services - NHC'!E107="[Enter service]"),"",'Services - NHC'!E107)</f>
        <v/>
      </c>
      <c r="F109" s="68" t="str">
        <f>IF(OR('Services - NHC'!F107="",'Services - NHC'!F107="[Select]"),"",'Services - NHC'!F107)</f>
        <v/>
      </c>
      <c r="G109" s="15"/>
      <c r="H109" s="239"/>
      <c r="I109" s="239"/>
      <c r="J109" s="239"/>
      <c r="K109" s="239"/>
      <c r="L109" s="239"/>
      <c r="M109" s="239"/>
      <c r="N109" s="239"/>
      <c r="O109" s="239"/>
      <c r="P109" s="239"/>
      <c r="Q109" s="239"/>
      <c r="R109" s="239"/>
      <c r="S109" s="239"/>
      <c r="T109" s="240"/>
      <c r="U109" s="241"/>
      <c r="V109" s="425">
        <f t="shared" si="4"/>
        <v>0</v>
      </c>
      <c r="W109" s="17"/>
    </row>
    <row r="110" spans="1:23" ht="12" customHeight="1" x14ac:dyDescent="0.2">
      <c r="A110" s="6"/>
      <c r="B110" s="6"/>
      <c r="C110" s="13"/>
      <c r="D110" s="19">
        <f t="shared" si="1"/>
        <v>99</v>
      </c>
      <c r="E110" s="67" t="str">
        <f>IF(OR('Services - NHC'!E108="",'Services - NHC'!E108="[Enter service]"),"",'Services - NHC'!E108)</f>
        <v/>
      </c>
      <c r="F110" s="68" t="str">
        <f>IF(OR('Services - NHC'!F108="",'Services - NHC'!F108="[Select]"),"",'Services - NHC'!F108)</f>
        <v/>
      </c>
      <c r="G110" s="15"/>
      <c r="H110" s="239"/>
      <c r="I110" s="239"/>
      <c r="J110" s="239"/>
      <c r="K110" s="239"/>
      <c r="L110" s="239"/>
      <c r="M110" s="239"/>
      <c r="N110" s="239"/>
      <c r="O110" s="239"/>
      <c r="P110" s="239"/>
      <c r="Q110" s="239"/>
      <c r="R110" s="239"/>
      <c r="S110" s="239"/>
      <c r="T110" s="240"/>
      <c r="U110" s="241"/>
      <c r="V110" s="425">
        <f t="shared" si="4"/>
        <v>0</v>
      </c>
      <c r="W110" s="17"/>
    </row>
    <row r="111" spans="1:23" ht="12" customHeight="1" x14ac:dyDescent="0.2">
      <c r="A111" s="6"/>
      <c r="B111" s="6"/>
      <c r="C111" s="13"/>
      <c r="D111" s="19">
        <f t="shared" si="1"/>
        <v>100</v>
      </c>
      <c r="E111" s="67" t="str">
        <f>IF(OR('Services - NHC'!E109="",'Services - NHC'!E109="[Enter service]"),"",'Services - NHC'!E109)</f>
        <v/>
      </c>
      <c r="F111" s="68" t="str">
        <f>IF(OR('Services - NHC'!F109="",'Services - NHC'!F109="[Select]"),"",'Services - NHC'!F109)</f>
        <v/>
      </c>
      <c r="G111" s="15"/>
      <c r="H111" s="239"/>
      <c r="I111" s="239"/>
      <c r="J111" s="239"/>
      <c r="K111" s="239"/>
      <c r="L111" s="239"/>
      <c r="M111" s="239"/>
      <c r="N111" s="239"/>
      <c r="O111" s="239"/>
      <c r="P111" s="239"/>
      <c r="Q111" s="239"/>
      <c r="R111" s="239"/>
      <c r="S111" s="239"/>
      <c r="T111" s="240"/>
      <c r="U111" s="241"/>
      <c r="V111" s="425">
        <f t="shared" si="4"/>
        <v>0</v>
      </c>
      <c r="W111" s="17"/>
    </row>
    <row r="112" spans="1:23" ht="12" customHeight="1" x14ac:dyDescent="0.2">
      <c r="A112" s="6"/>
      <c r="B112" s="6"/>
      <c r="C112" s="13"/>
      <c r="D112" s="19">
        <f t="shared" si="1"/>
        <v>101</v>
      </c>
      <c r="E112" s="67" t="str">
        <f>IF(OR('Services - NHC'!E110="",'Services - NHC'!E110="[Enter service]"),"",'Services - NHC'!E110)</f>
        <v/>
      </c>
      <c r="F112" s="68" t="str">
        <f>IF(OR('Services - NHC'!F110="",'Services - NHC'!F110="[Select]"),"",'Services - NHC'!F110)</f>
        <v/>
      </c>
      <c r="G112" s="15"/>
      <c r="H112" s="239"/>
      <c r="I112" s="239"/>
      <c r="J112" s="239"/>
      <c r="K112" s="239"/>
      <c r="L112" s="239"/>
      <c r="M112" s="239"/>
      <c r="N112" s="239"/>
      <c r="O112" s="239"/>
      <c r="P112" s="239"/>
      <c r="Q112" s="239"/>
      <c r="R112" s="239"/>
      <c r="S112" s="239"/>
      <c r="T112" s="240"/>
      <c r="U112" s="241"/>
      <c r="V112" s="425">
        <f t="shared" si="4"/>
        <v>0</v>
      </c>
      <c r="W112" s="17"/>
    </row>
    <row r="113" spans="1:23" ht="12" customHeight="1" x14ac:dyDescent="0.2">
      <c r="A113" s="6"/>
      <c r="B113" s="6"/>
      <c r="C113" s="13"/>
      <c r="D113" s="19">
        <f t="shared" si="1"/>
        <v>102</v>
      </c>
      <c r="E113" s="67" t="str">
        <f>IF(OR('Services - NHC'!E111="",'Services - NHC'!E111="[Enter service]"),"",'Services - NHC'!E111)</f>
        <v/>
      </c>
      <c r="F113" s="68" t="str">
        <f>IF(OR('Services - NHC'!F111="",'Services - NHC'!F111="[Select]"),"",'Services - NHC'!F111)</f>
        <v/>
      </c>
      <c r="G113" s="15"/>
      <c r="H113" s="239"/>
      <c r="I113" s="239"/>
      <c r="J113" s="239"/>
      <c r="K113" s="239"/>
      <c r="L113" s="239"/>
      <c r="M113" s="239"/>
      <c r="N113" s="239"/>
      <c r="O113" s="239"/>
      <c r="P113" s="239"/>
      <c r="Q113" s="239"/>
      <c r="R113" s="239"/>
      <c r="S113" s="239"/>
      <c r="T113" s="240"/>
      <c r="U113" s="241"/>
      <c r="V113" s="425">
        <f t="shared" si="4"/>
        <v>0</v>
      </c>
      <c r="W113" s="17"/>
    </row>
    <row r="114" spans="1:23" ht="12" customHeight="1" x14ac:dyDescent="0.2">
      <c r="A114" s="6"/>
      <c r="B114" s="6"/>
      <c r="C114" s="13"/>
      <c r="D114" s="19">
        <f t="shared" si="1"/>
        <v>103</v>
      </c>
      <c r="E114" s="67" t="str">
        <f>IF(OR('Services - NHC'!E112="",'Services - NHC'!E112="[Enter service]"),"",'Services - NHC'!E112)</f>
        <v/>
      </c>
      <c r="F114" s="68" t="str">
        <f>IF(OR('Services - NHC'!F112="",'Services - NHC'!F112="[Select]"),"",'Services - NHC'!F112)</f>
        <v/>
      </c>
      <c r="G114" s="15"/>
      <c r="H114" s="239"/>
      <c r="I114" s="239"/>
      <c r="J114" s="239"/>
      <c r="K114" s="239"/>
      <c r="L114" s="239"/>
      <c r="M114" s="239"/>
      <c r="N114" s="239"/>
      <c r="O114" s="239"/>
      <c r="P114" s="239"/>
      <c r="Q114" s="239"/>
      <c r="R114" s="239"/>
      <c r="S114" s="239"/>
      <c r="T114" s="240"/>
      <c r="U114" s="241"/>
      <c r="V114" s="425">
        <f t="shared" si="4"/>
        <v>0</v>
      </c>
      <c r="W114" s="17"/>
    </row>
    <row r="115" spans="1:23" ht="12" customHeight="1" x14ac:dyDescent="0.2">
      <c r="A115" s="6"/>
      <c r="B115" s="6"/>
      <c r="C115" s="13"/>
      <c r="D115" s="19">
        <f t="shared" si="1"/>
        <v>104</v>
      </c>
      <c r="E115" s="67" t="str">
        <f>IF(OR('Services - NHC'!E113="",'Services - NHC'!E113="[Enter service]"),"",'Services - NHC'!E113)</f>
        <v/>
      </c>
      <c r="F115" s="68" t="str">
        <f>IF(OR('Services - NHC'!F113="",'Services - NHC'!F113="[Select]"),"",'Services - NHC'!F113)</f>
        <v/>
      </c>
      <c r="G115" s="15"/>
      <c r="H115" s="239"/>
      <c r="I115" s="239"/>
      <c r="J115" s="239"/>
      <c r="K115" s="239"/>
      <c r="L115" s="239"/>
      <c r="M115" s="239"/>
      <c r="N115" s="239"/>
      <c r="O115" s="239"/>
      <c r="P115" s="239"/>
      <c r="Q115" s="239"/>
      <c r="R115" s="239"/>
      <c r="S115" s="239"/>
      <c r="T115" s="240"/>
      <c r="U115" s="241"/>
      <c r="V115" s="425">
        <f t="shared" si="4"/>
        <v>0</v>
      </c>
      <c r="W115" s="17"/>
    </row>
    <row r="116" spans="1:23" ht="12" customHeight="1" x14ac:dyDescent="0.2">
      <c r="A116" s="6"/>
      <c r="B116" s="6"/>
      <c r="C116" s="13"/>
      <c r="D116" s="19">
        <f t="shared" si="1"/>
        <v>105</v>
      </c>
      <c r="E116" s="67" t="str">
        <f>IF(OR('Services - NHC'!E114="",'Services - NHC'!E114="[Enter service]"),"",'Services - NHC'!E114)</f>
        <v/>
      </c>
      <c r="F116" s="68" t="str">
        <f>IF(OR('Services - NHC'!F114="",'Services - NHC'!F114="[Select]"),"",'Services - NHC'!F114)</f>
        <v/>
      </c>
      <c r="G116" s="15"/>
      <c r="H116" s="239"/>
      <c r="I116" s="239"/>
      <c r="J116" s="239"/>
      <c r="K116" s="239"/>
      <c r="L116" s="239"/>
      <c r="M116" s="239"/>
      <c r="N116" s="239"/>
      <c r="O116" s="239"/>
      <c r="P116" s="239"/>
      <c r="Q116" s="239"/>
      <c r="R116" s="239"/>
      <c r="S116" s="239"/>
      <c r="T116" s="240"/>
      <c r="U116" s="241"/>
      <c r="V116" s="425">
        <f t="shared" si="4"/>
        <v>0</v>
      </c>
      <c r="W116" s="17"/>
    </row>
    <row r="117" spans="1:23" ht="12" customHeight="1" x14ac:dyDescent="0.2">
      <c r="A117" s="6"/>
      <c r="B117" s="6"/>
      <c r="C117" s="13"/>
      <c r="D117" s="19">
        <f t="shared" si="1"/>
        <v>106</v>
      </c>
      <c r="E117" s="67" t="str">
        <f>IF(OR('Services - NHC'!E115="",'Services - NHC'!E115="[Enter service]"),"",'Services - NHC'!E115)</f>
        <v/>
      </c>
      <c r="F117" s="68" t="str">
        <f>IF(OR('Services - NHC'!F115="",'Services - NHC'!F115="[Select]"),"",'Services - NHC'!F115)</f>
        <v/>
      </c>
      <c r="G117" s="15"/>
      <c r="H117" s="239"/>
      <c r="I117" s="239"/>
      <c r="J117" s="239"/>
      <c r="K117" s="239"/>
      <c r="L117" s="239"/>
      <c r="M117" s="239"/>
      <c r="N117" s="239"/>
      <c r="O117" s="239"/>
      <c r="P117" s="239"/>
      <c r="Q117" s="239"/>
      <c r="R117" s="239"/>
      <c r="S117" s="239"/>
      <c r="T117" s="240"/>
      <c r="U117" s="241"/>
      <c r="V117" s="425">
        <f t="shared" si="4"/>
        <v>0</v>
      </c>
      <c r="W117" s="17"/>
    </row>
    <row r="118" spans="1:23" ht="12" customHeight="1" x14ac:dyDescent="0.2">
      <c r="A118" s="6"/>
      <c r="B118" s="6"/>
      <c r="C118" s="13"/>
      <c r="D118" s="19">
        <f t="shared" si="1"/>
        <v>107</v>
      </c>
      <c r="E118" s="67" t="str">
        <f>IF(OR('Services - NHC'!E116="",'Services - NHC'!E116="[Enter service]"),"",'Services - NHC'!E116)</f>
        <v/>
      </c>
      <c r="F118" s="68" t="str">
        <f>IF(OR('Services - NHC'!F116="",'Services - NHC'!F116="[Select]"),"",'Services - NHC'!F116)</f>
        <v/>
      </c>
      <c r="G118" s="15"/>
      <c r="H118" s="239"/>
      <c r="I118" s="239"/>
      <c r="J118" s="239"/>
      <c r="K118" s="239"/>
      <c r="L118" s="239"/>
      <c r="M118" s="239"/>
      <c r="N118" s="239"/>
      <c r="O118" s="239"/>
      <c r="P118" s="239"/>
      <c r="Q118" s="239"/>
      <c r="R118" s="239"/>
      <c r="S118" s="239"/>
      <c r="T118" s="240"/>
      <c r="U118" s="241"/>
      <c r="V118" s="425">
        <f t="shared" si="4"/>
        <v>0</v>
      </c>
      <c r="W118" s="17"/>
    </row>
    <row r="119" spans="1:23" ht="12" customHeight="1" x14ac:dyDescent="0.2">
      <c r="A119" s="6"/>
      <c r="B119" s="6"/>
      <c r="C119" s="13"/>
      <c r="D119" s="19">
        <f t="shared" si="1"/>
        <v>108</v>
      </c>
      <c r="E119" s="67" t="str">
        <f>IF(OR('Services - NHC'!E117="",'Services - NHC'!E117="[Enter service]"),"",'Services - NHC'!E117)</f>
        <v/>
      </c>
      <c r="F119" s="68" t="str">
        <f>IF(OR('Services - NHC'!F117="",'Services - NHC'!F117="[Select]"),"",'Services - NHC'!F117)</f>
        <v/>
      </c>
      <c r="G119" s="15"/>
      <c r="H119" s="239"/>
      <c r="I119" s="239"/>
      <c r="J119" s="239"/>
      <c r="K119" s="239"/>
      <c r="L119" s="239"/>
      <c r="M119" s="239"/>
      <c r="N119" s="239"/>
      <c r="O119" s="239"/>
      <c r="P119" s="239"/>
      <c r="Q119" s="239"/>
      <c r="R119" s="239"/>
      <c r="S119" s="239"/>
      <c r="T119" s="240"/>
      <c r="U119" s="241"/>
      <c r="V119" s="425">
        <f t="shared" si="4"/>
        <v>0</v>
      </c>
      <c r="W119" s="17"/>
    </row>
    <row r="120" spans="1:23" ht="12" customHeight="1" x14ac:dyDescent="0.2">
      <c r="A120" s="6"/>
      <c r="B120" s="6"/>
      <c r="C120" s="13"/>
      <c r="D120" s="19">
        <f t="shared" si="1"/>
        <v>109</v>
      </c>
      <c r="E120" s="67" t="str">
        <f>IF(OR('Services - NHC'!E118="",'Services - NHC'!E118="[Enter service]"),"",'Services - NHC'!E118)</f>
        <v/>
      </c>
      <c r="F120" s="68" t="str">
        <f>IF(OR('Services - NHC'!F118="",'Services - NHC'!F118="[Select]"),"",'Services - NHC'!F118)</f>
        <v/>
      </c>
      <c r="G120" s="15"/>
      <c r="H120" s="239"/>
      <c r="I120" s="239"/>
      <c r="J120" s="239"/>
      <c r="K120" s="239"/>
      <c r="L120" s="239"/>
      <c r="M120" s="239"/>
      <c r="N120" s="239"/>
      <c r="O120" s="239"/>
      <c r="P120" s="239"/>
      <c r="Q120" s="239"/>
      <c r="R120" s="239"/>
      <c r="S120" s="239"/>
      <c r="T120" s="240"/>
      <c r="U120" s="241"/>
      <c r="V120" s="425">
        <f t="shared" si="4"/>
        <v>0</v>
      </c>
      <c r="W120" s="17"/>
    </row>
    <row r="121" spans="1:23" ht="12" customHeight="1" x14ac:dyDescent="0.2">
      <c r="A121" s="6"/>
      <c r="B121" s="6"/>
      <c r="C121" s="13"/>
      <c r="D121" s="19">
        <f t="shared" si="1"/>
        <v>110</v>
      </c>
      <c r="E121" s="67" t="str">
        <f>IF(OR('Services - NHC'!E119="",'Services - NHC'!E119="[Enter service]"),"",'Services - NHC'!E119)</f>
        <v/>
      </c>
      <c r="F121" s="68" t="str">
        <f>IF(OR('Services - NHC'!F119="",'Services - NHC'!F119="[Select]"),"",'Services - NHC'!F119)</f>
        <v/>
      </c>
      <c r="G121" s="15"/>
      <c r="H121" s="239"/>
      <c r="I121" s="239"/>
      <c r="J121" s="239"/>
      <c r="K121" s="239"/>
      <c r="L121" s="239"/>
      <c r="M121" s="239"/>
      <c r="N121" s="239"/>
      <c r="O121" s="239"/>
      <c r="P121" s="239"/>
      <c r="Q121" s="239"/>
      <c r="R121" s="239"/>
      <c r="S121" s="239"/>
      <c r="T121" s="240"/>
      <c r="U121" s="241"/>
      <c r="V121" s="425">
        <f t="shared" si="4"/>
        <v>0</v>
      </c>
      <c r="W121" s="17"/>
    </row>
    <row r="122" spans="1:23" ht="12" customHeight="1" x14ac:dyDescent="0.2">
      <c r="A122" s="6"/>
      <c r="B122" s="6"/>
      <c r="C122" s="13"/>
      <c r="D122" s="19">
        <f t="shared" si="1"/>
        <v>111</v>
      </c>
      <c r="E122" s="67" t="str">
        <f>IF(OR('Services - NHC'!E120="",'Services - NHC'!E120="[Enter service]"),"",'Services - NHC'!E120)</f>
        <v/>
      </c>
      <c r="F122" s="68" t="str">
        <f>IF(OR('Services - NHC'!F120="",'Services - NHC'!F120="[Select]"),"",'Services - NHC'!F120)</f>
        <v/>
      </c>
      <c r="G122" s="15"/>
      <c r="H122" s="239"/>
      <c r="I122" s="239"/>
      <c r="J122" s="239"/>
      <c r="K122" s="239"/>
      <c r="L122" s="239"/>
      <c r="M122" s="239"/>
      <c r="N122" s="239"/>
      <c r="O122" s="239"/>
      <c r="P122" s="239"/>
      <c r="Q122" s="239"/>
      <c r="R122" s="239"/>
      <c r="S122" s="239"/>
      <c r="T122" s="240"/>
      <c r="U122" s="241"/>
      <c r="V122" s="425">
        <f t="shared" si="4"/>
        <v>0</v>
      </c>
      <c r="W122" s="17"/>
    </row>
    <row r="123" spans="1:23" ht="12" customHeight="1" x14ac:dyDescent="0.2">
      <c r="A123" s="6"/>
      <c r="B123" s="6"/>
      <c r="C123" s="13"/>
      <c r="D123" s="19">
        <f t="shared" si="1"/>
        <v>112</v>
      </c>
      <c r="E123" s="67" t="str">
        <f>IF(OR('Services - NHC'!E121="",'Services - NHC'!E121="[Enter service]"),"",'Services - NHC'!E121)</f>
        <v/>
      </c>
      <c r="F123" s="68" t="str">
        <f>IF(OR('Services - NHC'!F121="",'Services - NHC'!F121="[Select]"),"",'Services - NHC'!F121)</f>
        <v/>
      </c>
      <c r="G123" s="15"/>
      <c r="H123" s="239"/>
      <c r="I123" s="239"/>
      <c r="J123" s="239"/>
      <c r="K123" s="239"/>
      <c r="L123" s="239"/>
      <c r="M123" s="239"/>
      <c r="N123" s="239"/>
      <c r="O123" s="239"/>
      <c r="P123" s="239"/>
      <c r="Q123" s="239"/>
      <c r="R123" s="239"/>
      <c r="S123" s="239"/>
      <c r="T123" s="240"/>
      <c r="U123" s="241"/>
      <c r="V123" s="425">
        <f t="shared" si="4"/>
        <v>0</v>
      </c>
      <c r="W123" s="17"/>
    </row>
    <row r="124" spans="1:23" ht="12" customHeight="1" x14ac:dyDescent="0.2">
      <c r="A124" s="6"/>
      <c r="B124" s="6"/>
      <c r="C124" s="13"/>
      <c r="D124" s="19">
        <f t="shared" si="1"/>
        <v>113</v>
      </c>
      <c r="E124" s="67" t="str">
        <f>IF(OR('Services - NHC'!E122="",'Services - NHC'!E122="[Enter service]"),"",'Services - NHC'!E122)</f>
        <v/>
      </c>
      <c r="F124" s="68" t="str">
        <f>IF(OR('Services - NHC'!F122="",'Services - NHC'!F122="[Select]"),"",'Services - NHC'!F122)</f>
        <v/>
      </c>
      <c r="G124" s="15"/>
      <c r="H124" s="239"/>
      <c r="I124" s="239"/>
      <c r="J124" s="239"/>
      <c r="K124" s="239"/>
      <c r="L124" s="239"/>
      <c r="M124" s="239"/>
      <c r="N124" s="239"/>
      <c r="O124" s="239"/>
      <c r="P124" s="239"/>
      <c r="Q124" s="239"/>
      <c r="R124" s="239"/>
      <c r="S124" s="239"/>
      <c r="T124" s="240"/>
      <c r="U124" s="241"/>
      <c r="V124" s="425">
        <f t="shared" si="4"/>
        <v>0</v>
      </c>
      <c r="W124" s="17"/>
    </row>
    <row r="125" spans="1:23" ht="12" customHeight="1" x14ac:dyDescent="0.2">
      <c r="A125" s="6"/>
      <c r="B125" s="6"/>
      <c r="C125" s="13"/>
      <c r="D125" s="19">
        <f t="shared" si="1"/>
        <v>114</v>
      </c>
      <c r="E125" s="67" t="str">
        <f>IF(OR('Services - NHC'!E123="",'Services - NHC'!E123="[Enter service]"),"",'Services - NHC'!E123)</f>
        <v/>
      </c>
      <c r="F125" s="68" t="str">
        <f>IF(OR('Services - NHC'!F123="",'Services - NHC'!F123="[Select]"),"",'Services - NHC'!F123)</f>
        <v/>
      </c>
      <c r="G125" s="15"/>
      <c r="H125" s="239"/>
      <c r="I125" s="239"/>
      <c r="J125" s="239"/>
      <c r="K125" s="239"/>
      <c r="L125" s="239"/>
      <c r="M125" s="239"/>
      <c r="N125" s="239"/>
      <c r="O125" s="239"/>
      <c r="P125" s="239"/>
      <c r="Q125" s="239"/>
      <c r="R125" s="239"/>
      <c r="S125" s="239"/>
      <c r="T125" s="240"/>
      <c r="U125" s="241"/>
      <c r="V125" s="425">
        <f t="shared" si="4"/>
        <v>0</v>
      </c>
      <c r="W125" s="17"/>
    </row>
    <row r="126" spans="1:23" ht="12" customHeight="1" x14ac:dyDescent="0.2">
      <c r="A126" s="6"/>
      <c r="B126" s="6"/>
      <c r="C126" s="13"/>
      <c r="D126" s="19">
        <f t="shared" si="1"/>
        <v>115</v>
      </c>
      <c r="E126" s="67" t="str">
        <f>IF(OR('Services - NHC'!E124="",'Services - NHC'!E124="[Enter service]"),"",'Services - NHC'!E124)</f>
        <v/>
      </c>
      <c r="F126" s="68" t="str">
        <f>IF(OR('Services - NHC'!F124="",'Services - NHC'!F124="[Select]"),"",'Services - NHC'!F124)</f>
        <v/>
      </c>
      <c r="G126" s="15"/>
      <c r="H126" s="239"/>
      <c r="I126" s="239"/>
      <c r="J126" s="239"/>
      <c r="K126" s="239"/>
      <c r="L126" s="239"/>
      <c r="M126" s="239"/>
      <c r="N126" s="239"/>
      <c r="O126" s="239"/>
      <c r="P126" s="239"/>
      <c r="Q126" s="239"/>
      <c r="R126" s="239"/>
      <c r="S126" s="239"/>
      <c r="T126" s="240"/>
      <c r="U126" s="241"/>
      <c r="V126" s="425">
        <f t="shared" si="4"/>
        <v>0</v>
      </c>
      <c r="W126" s="17"/>
    </row>
    <row r="127" spans="1:23" ht="12" customHeight="1" x14ac:dyDescent="0.2">
      <c r="A127" s="6"/>
      <c r="B127" s="6"/>
      <c r="C127" s="13"/>
      <c r="D127" s="19">
        <f t="shared" si="1"/>
        <v>116</v>
      </c>
      <c r="E127" s="67" t="str">
        <f>IF(OR('Services - NHC'!E125="",'Services - NHC'!E125="[Enter service]"),"",'Services - NHC'!E125)</f>
        <v/>
      </c>
      <c r="F127" s="68" t="str">
        <f>IF(OR('Services - NHC'!F125="",'Services - NHC'!F125="[Select]"),"",'Services - NHC'!F125)</f>
        <v/>
      </c>
      <c r="G127" s="15"/>
      <c r="H127" s="239"/>
      <c r="I127" s="239"/>
      <c r="J127" s="239"/>
      <c r="K127" s="239"/>
      <c r="L127" s="239"/>
      <c r="M127" s="239"/>
      <c r="N127" s="239"/>
      <c r="O127" s="239"/>
      <c r="P127" s="239"/>
      <c r="Q127" s="239"/>
      <c r="R127" s="239"/>
      <c r="S127" s="239"/>
      <c r="T127" s="240"/>
      <c r="U127" s="241"/>
      <c r="V127" s="425">
        <f t="shared" si="4"/>
        <v>0</v>
      </c>
      <c r="W127" s="17"/>
    </row>
    <row r="128" spans="1:23" ht="12" customHeight="1" x14ac:dyDescent="0.2">
      <c r="A128" s="6"/>
      <c r="B128" s="6"/>
      <c r="C128" s="13"/>
      <c r="D128" s="19">
        <f t="shared" si="1"/>
        <v>117</v>
      </c>
      <c r="E128" s="67" t="str">
        <f>IF(OR('Services - NHC'!E126="",'Services - NHC'!E126="[Enter service]"),"",'Services - NHC'!E126)</f>
        <v/>
      </c>
      <c r="F128" s="68" t="str">
        <f>IF(OR('Services - NHC'!F126="",'Services - NHC'!F126="[Select]"),"",'Services - NHC'!F126)</f>
        <v/>
      </c>
      <c r="G128" s="15"/>
      <c r="H128" s="239"/>
      <c r="I128" s="239"/>
      <c r="J128" s="239"/>
      <c r="K128" s="239"/>
      <c r="L128" s="239"/>
      <c r="M128" s="239"/>
      <c r="N128" s="239"/>
      <c r="O128" s="239"/>
      <c r="P128" s="239"/>
      <c r="Q128" s="239"/>
      <c r="R128" s="239"/>
      <c r="S128" s="239"/>
      <c r="T128" s="240"/>
      <c r="U128" s="241"/>
      <c r="V128" s="425">
        <f t="shared" si="4"/>
        <v>0</v>
      </c>
      <c r="W128" s="17"/>
    </row>
    <row r="129" spans="1:23" ht="12" customHeight="1" x14ac:dyDescent="0.2">
      <c r="A129" s="6"/>
      <c r="B129" s="6"/>
      <c r="C129" s="13"/>
      <c r="D129" s="19">
        <f t="shared" si="1"/>
        <v>118</v>
      </c>
      <c r="E129" s="67" t="str">
        <f>IF(OR('Services - NHC'!E127="",'Services - NHC'!E127="[Enter service]"),"",'Services - NHC'!E127)</f>
        <v/>
      </c>
      <c r="F129" s="68" t="str">
        <f>IF(OR('Services - NHC'!F127="",'Services - NHC'!F127="[Select]"),"",'Services - NHC'!F127)</f>
        <v/>
      </c>
      <c r="G129" s="15"/>
      <c r="H129" s="239"/>
      <c r="I129" s="239"/>
      <c r="J129" s="239"/>
      <c r="K129" s="239"/>
      <c r="L129" s="239"/>
      <c r="M129" s="239"/>
      <c r="N129" s="239"/>
      <c r="O129" s="239"/>
      <c r="P129" s="239"/>
      <c r="Q129" s="239"/>
      <c r="R129" s="239"/>
      <c r="S129" s="239"/>
      <c r="T129" s="240"/>
      <c r="U129" s="241"/>
      <c r="V129" s="425">
        <f t="shared" si="4"/>
        <v>0</v>
      </c>
      <c r="W129" s="17"/>
    </row>
    <row r="130" spans="1:23" ht="12" customHeight="1" x14ac:dyDescent="0.2">
      <c r="A130" s="6"/>
      <c r="B130" s="6"/>
      <c r="C130" s="13"/>
      <c r="D130" s="19">
        <f t="shared" si="1"/>
        <v>119</v>
      </c>
      <c r="E130" s="67" t="str">
        <f>IF(OR('Services - NHC'!E128="",'Services - NHC'!E128="[Enter service]"),"",'Services - NHC'!E128)</f>
        <v/>
      </c>
      <c r="F130" s="68" t="str">
        <f>IF(OR('Services - NHC'!F128="",'Services - NHC'!F128="[Select]"),"",'Services - NHC'!F128)</f>
        <v/>
      </c>
      <c r="G130" s="15"/>
      <c r="H130" s="239"/>
      <c r="I130" s="239"/>
      <c r="J130" s="239"/>
      <c r="K130" s="239"/>
      <c r="L130" s="239"/>
      <c r="M130" s="239"/>
      <c r="N130" s="239"/>
      <c r="O130" s="239"/>
      <c r="P130" s="239"/>
      <c r="Q130" s="239"/>
      <c r="R130" s="239"/>
      <c r="S130" s="239"/>
      <c r="T130" s="240"/>
      <c r="U130" s="241"/>
      <c r="V130" s="425">
        <f t="shared" si="4"/>
        <v>0</v>
      </c>
      <c r="W130" s="17"/>
    </row>
    <row r="131" spans="1:23" ht="12" customHeight="1" x14ac:dyDescent="0.2">
      <c r="A131" s="6"/>
      <c r="B131" s="6"/>
      <c r="C131" s="13"/>
      <c r="D131" s="19">
        <f t="shared" si="1"/>
        <v>120</v>
      </c>
      <c r="E131" s="67" t="str">
        <f>IF(OR('Services - NHC'!E129="",'Services - NHC'!E129="[Enter service]"),"",'Services - NHC'!E129)</f>
        <v/>
      </c>
      <c r="F131" s="68" t="str">
        <f>IF(OR('Services - NHC'!F129="",'Services - NHC'!F129="[Select]"),"",'Services - NHC'!F129)</f>
        <v/>
      </c>
      <c r="G131" s="15"/>
      <c r="H131" s="239"/>
      <c r="I131" s="239"/>
      <c r="J131" s="239"/>
      <c r="K131" s="239"/>
      <c r="L131" s="239"/>
      <c r="M131" s="239"/>
      <c r="N131" s="239"/>
      <c r="O131" s="239"/>
      <c r="P131" s="239"/>
      <c r="Q131" s="239"/>
      <c r="R131" s="239"/>
      <c r="S131" s="239"/>
      <c r="T131" s="240"/>
      <c r="U131" s="241"/>
      <c r="V131" s="425">
        <f t="shared" si="4"/>
        <v>0</v>
      </c>
      <c r="W131" s="17"/>
    </row>
    <row r="132" spans="1:23" ht="12" customHeight="1" x14ac:dyDescent="0.2">
      <c r="A132" s="6"/>
      <c r="B132" s="6"/>
      <c r="C132" s="13"/>
      <c r="D132" s="19">
        <f t="shared" si="1"/>
        <v>121</v>
      </c>
      <c r="E132" s="67" t="str">
        <f>IF(OR('Services - NHC'!E130="",'Services - NHC'!E130="[Enter service]"),"",'Services - NHC'!E130)</f>
        <v/>
      </c>
      <c r="F132" s="68" t="str">
        <f>IF(OR('Services - NHC'!F130="",'Services - NHC'!F130="[Select]"),"",'Services - NHC'!F130)</f>
        <v/>
      </c>
      <c r="G132" s="15"/>
      <c r="H132" s="239"/>
      <c r="I132" s="239"/>
      <c r="J132" s="239"/>
      <c r="K132" s="239"/>
      <c r="L132" s="239"/>
      <c r="M132" s="239"/>
      <c r="N132" s="239"/>
      <c r="O132" s="239"/>
      <c r="P132" s="239"/>
      <c r="Q132" s="239"/>
      <c r="R132" s="239"/>
      <c r="S132" s="239"/>
      <c r="T132" s="240"/>
      <c r="U132" s="241"/>
      <c r="V132" s="425">
        <f t="shared" si="4"/>
        <v>0</v>
      </c>
      <c r="W132" s="17"/>
    </row>
    <row r="133" spans="1:23" ht="12" customHeight="1" x14ac:dyDescent="0.2">
      <c r="A133" s="6"/>
      <c r="B133" s="6"/>
      <c r="C133" s="13"/>
      <c r="D133" s="19">
        <f t="shared" si="1"/>
        <v>122</v>
      </c>
      <c r="E133" s="67" t="str">
        <f>IF(OR('Services - NHC'!E131="",'Services - NHC'!E131="[Enter service]"),"",'Services - NHC'!E131)</f>
        <v/>
      </c>
      <c r="F133" s="68" t="str">
        <f>IF(OR('Services - NHC'!F131="",'Services - NHC'!F131="[Select]"),"",'Services - NHC'!F131)</f>
        <v/>
      </c>
      <c r="G133" s="15"/>
      <c r="H133" s="239"/>
      <c r="I133" s="239"/>
      <c r="J133" s="239"/>
      <c r="K133" s="239"/>
      <c r="L133" s="239"/>
      <c r="M133" s="239"/>
      <c r="N133" s="239"/>
      <c r="O133" s="239"/>
      <c r="P133" s="239"/>
      <c r="Q133" s="239"/>
      <c r="R133" s="239"/>
      <c r="S133" s="239"/>
      <c r="T133" s="240"/>
      <c r="U133" s="241"/>
      <c r="V133" s="425">
        <f t="shared" si="4"/>
        <v>0</v>
      </c>
      <c r="W133" s="17"/>
    </row>
    <row r="134" spans="1:23" ht="12" customHeight="1" x14ac:dyDescent="0.2">
      <c r="A134" s="6"/>
      <c r="B134" s="6"/>
      <c r="C134" s="13"/>
      <c r="D134" s="19">
        <f t="shared" si="1"/>
        <v>123</v>
      </c>
      <c r="E134" s="67" t="str">
        <f>IF(OR('Services - NHC'!E132="",'Services - NHC'!E132="[Enter service]"),"",'Services - NHC'!E132)</f>
        <v/>
      </c>
      <c r="F134" s="68" t="str">
        <f>IF(OR('Services - NHC'!F132="",'Services - NHC'!F132="[Select]"),"",'Services - NHC'!F132)</f>
        <v/>
      </c>
      <c r="G134" s="15"/>
      <c r="H134" s="239"/>
      <c r="I134" s="239"/>
      <c r="J134" s="239"/>
      <c r="K134" s="239"/>
      <c r="L134" s="239"/>
      <c r="M134" s="239"/>
      <c r="N134" s="239"/>
      <c r="O134" s="239"/>
      <c r="P134" s="239"/>
      <c r="Q134" s="239"/>
      <c r="R134" s="239"/>
      <c r="S134" s="239"/>
      <c r="T134" s="240"/>
      <c r="U134" s="241"/>
      <c r="V134" s="425">
        <f t="shared" si="4"/>
        <v>0</v>
      </c>
      <c r="W134" s="17"/>
    </row>
    <row r="135" spans="1:23" ht="12" customHeight="1" x14ac:dyDescent="0.2">
      <c r="A135" s="6"/>
      <c r="B135" s="6"/>
      <c r="C135" s="13"/>
      <c r="D135" s="19">
        <f t="shared" si="1"/>
        <v>124</v>
      </c>
      <c r="E135" s="67" t="str">
        <f>IF(OR('Services - NHC'!E133="",'Services - NHC'!E133="[Enter service]"),"",'Services - NHC'!E133)</f>
        <v/>
      </c>
      <c r="F135" s="68" t="str">
        <f>IF(OR('Services - NHC'!F133="",'Services - NHC'!F133="[Select]"),"",'Services - NHC'!F133)</f>
        <v/>
      </c>
      <c r="G135" s="15"/>
      <c r="H135" s="239"/>
      <c r="I135" s="239"/>
      <c r="J135" s="239"/>
      <c r="K135" s="239"/>
      <c r="L135" s="239"/>
      <c r="M135" s="239"/>
      <c r="N135" s="239"/>
      <c r="O135" s="239"/>
      <c r="P135" s="239"/>
      <c r="Q135" s="239"/>
      <c r="R135" s="239"/>
      <c r="S135" s="239"/>
      <c r="T135" s="240"/>
      <c r="U135" s="241"/>
      <c r="V135" s="425">
        <f t="shared" si="4"/>
        <v>0</v>
      </c>
      <c r="W135" s="17"/>
    </row>
    <row r="136" spans="1:23" ht="12" customHeight="1" x14ac:dyDescent="0.2">
      <c r="A136" s="6"/>
      <c r="B136" s="6"/>
      <c r="C136" s="13"/>
      <c r="D136" s="19">
        <f t="shared" si="1"/>
        <v>125</v>
      </c>
      <c r="E136" s="67" t="str">
        <f>IF(OR('Services - NHC'!E134="",'Services - NHC'!E134="[Enter service]"),"",'Services - NHC'!E134)</f>
        <v/>
      </c>
      <c r="F136" s="68" t="str">
        <f>IF(OR('Services - NHC'!F134="",'Services - NHC'!F134="[Select]"),"",'Services - NHC'!F134)</f>
        <v/>
      </c>
      <c r="G136" s="15"/>
      <c r="H136" s="239"/>
      <c r="I136" s="239"/>
      <c r="J136" s="239"/>
      <c r="K136" s="239"/>
      <c r="L136" s="239"/>
      <c r="M136" s="239"/>
      <c r="N136" s="239"/>
      <c r="O136" s="239"/>
      <c r="P136" s="239"/>
      <c r="Q136" s="239"/>
      <c r="R136" s="239"/>
      <c r="S136" s="239"/>
      <c r="T136" s="240"/>
      <c r="U136" s="241"/>
      <c r="V136" s="425">
        <f t="shared" si="4"/>
        <v>0</v>
      </c>
      <c r="W136" s="17"/>
    </row>
    <row r="137" spans="1:23" ht="12" customHeight="1" x14ac:dyDescent="0.2">
      <c r="A137" s="6"/>
      <c r="B137" s="6"/>
      <c r="C137" s="13"/>
      <c r="D137" s="19">
        <f t="shared" si="1"/>
        <v>126</v>
      </c>
      <c r="E137" s="67" t="str">
        <f>IF(OR('Services - NHC'!E135="",'Services - NHC'!E135="[Enter service]"),"",'Services - NHC'!E135)</f>
        <v/>
      </c>
      <c r="F137" s="68" t="str">
        <f>IF(OR('Services - NHC'!F135="",'Services - NHC'!F135="[Select]"),"",'Services - NHC'!F135)</f>
        <v/>
      </c>
      <c r="G137" s="15"/>
      <c r="H137" s="239"/>
      <c r="I137" s="239"/>
      <c r="J137" s="239"/>
      <c r="K137" s="239"/>
      <c r="L137" s="239"/>
      <c r="M137" s="239"/>
      <c r="N137" s="239"/>
      <c r="O137" s="239"/>
      <c r="P137" s="239"/>
      <c r="Q137" s="239"/>
      <c r="R137" s="239"/>
      <c r="S137" s="239"/>
      <c r="T137" s="240"/>
      <c r="U137" s="241"/>
      <c r="V137" s="425">
        <f t="shared" si="4"/>
        <v>0</v>
      </c>
      <c r="W137" s="17"/>
    </row>
    <row r="138" spans="1:23" ht="12" customHeight="1" x14ac:dyDescent="0.2">
      <c r="A138" s="6"/>
      <c r="B138" s="6"/>
      <c r="C138" s="13"/>
      <c r="D138" s="19">
        <f t="shared" si="1"/>
        <v>127</v>
      </c>
      <c r="E138" s="67" t="str">
        <f>IF(OR('Services - NHC'!E136="",'Services - NHC'!E136="[Enter service]"),"",'Services - NHC'!E136)</f>
        <v/>
      </c>
      <c r="F138" s="68" t="str">
        <f>IF(OR('Services - NHC'!F136="",'Services - NHC'!F136="[Select]"),"",'Services - NHC'!F136)</f>
        <v/>
      </c>
      <c r="G138" s="15"/>
      <c r="H138" s="239"/>
      <c r="I138" s="239"/>
      <c r="J138" s="239"/>
      <c r="K138" s="239"/>
      <c r="L138" s="239"/>
      <c r="M138" s="239"/>
      <c r="N138" s="239"/>
      <c r="O138" s="239"/>
      <c r="P138" s="239"/>
      <c r="Q138" s="239"/>
      <c r="R138" s="239"/>
      <c r="S138" s="239"/>
      <c r="T138" s="240"/>
      <c r="U138" s="241"/>
      <c r="V138" s="425">
        <f t="shared" si="4"/>
        <v>0</v>
      </c>
      <c r="W138" s="17"/>
    </row>
    <row r="139" spans="1:23" ht="12" customHeight="1" x14ac:dyDescent="0.2">
      <c r="A139" s="6"/>
      <c r="B139" s="6"/>
      <c r="C139" s="13"/>
      <c r="D139" s="19">
        <f t="shared" si="1"/>
        <v>128</v>
      </c>
      <c r="E139" s="67" t="str">
        <f>IF(OR('Services - NHC'!E137="",'Services - NHC'!E137="[Enter service]"),"",'Services - NHC'!E137)</f>
        <v/>
      </c>
      <c r="F139" s="68" t="str">
        <f>IF(OR('Services - NHC'!F137="",'Services - NHC'!F137="[Select]"),"",'Services - NHC'!F137)</f>
        <v/>
      </c>
      <c r="G139" s="15"/>
      <c r="H139" s="239"/>
      <c r="I139" s="239"/>
      <c r="J139" s="239"/>
      <c r="K139" s="239"/>
      <c r="L139" s="239"/>
      <c r="M139" s="239"/>
      <c r="N139" s="239"/>
      <c r="O139" s="239"/>
      <c r="P139" s="239"/>
      <c r="Q139" s="239"/>
      <c r="R139" s="239"/>
      <c r="S139" s="239"/>
      <c r="T139" s="240"/>
      <c r="U139" s="241"/>
      <c r="V139" s="425">
        <f t="shared" si="4"/>
        <v>0</v>
      </c>
      <c r="W139" s="17"/>
    </row>
    <row r="140" spans="1:23" ht="12" customHeight="1" x14ac:dyDescent="0.2">
      <c r="A140" s="6"/>
      <c r="B140" s="6"/>
      <c r="C140" s="13"/>
      <c r="D140" s="19">
        <f t="shared" si="1"/>
        <v>129</v>
      </c>
      <c r="E140" s="67" t="str">
        <f>IF(OR('Services - NHC'!E138="",'Services - NHC'!E138="[Enter service]"),"",'Services - NHC'!E138)</f>
        <v/>
      </c>
      <c r="F140" s="68" t="str">
        <f>IF(OR('Services - NHC'!F138="",'Services - NHC'!F138="[Select]"),"",'Services - NHC'!F138)</f>
        <v/>
      </c>
      <c r="G140" s="15"/>
      <c r="H140" s="239"/>
      <c r="I140" s="239"/>
      <c r="J140" s="239"/>
      <c r="K140" s="239"/>
      <c r="L140" s="239"/>
      <c r="M140" s="239"/>
      <c r="N140" s="239"/>
      <c r="O140" s="239"/>
      <c r="P140" s="239"/>
      <c r="Q140" s="239"/>
      <c r="R140" s="239"/>
      <c r="S140" s="239"/>
      <c r="T140" s="240"/>
      <c r="U140" s="241"/>
      <c r="V140" s="425">
        <f t="shared" ref="V140:V153" si="5">SUM(H140:U140)</f>
        <v>0</v>
      </c>
      <c r="W140" s="17"/>
    </row>
    <row r="141" spans="1:23" ht="12" customHeight="1" x14ac:dyDescent="0.2">
      <c r="A141" s="6"/>
      <c r="B141" s="6"/>
      <c r="C141" s="13"/>
      <c r="D141" s="19">
        <f t="shared" si="1"/>
        <v>130</v>
      </c>
      <c r="E141" s="67" t="str">
        <f>IF(OR('Services - NHC'!E139="",'Services - NHC'!E139="[Enter service]"),"",'Services - NHC'!E139)</f>
        <v/>
      </c>
      <c r="F141" s="68" t="str">
        <f>IF(OR('Services - NHC'!F139="",'Services - NHC'!F139="[Select]"),"",'Services - NHC'!F139)</f>
        <v/>
      </c>
      <c r="G141" s="15"/>
      <c r="H141" s="239"/>
      <c r="I141" s="239"/>
      <c r="J141" s="239"/>
      <c r="K141" s="239"/>
      <c r="L141" s="239"/>
      <c r="M141" s="239"/>
      <c r="N141" s="239"/>
      <c r="O141" s="239"/>
      <c r="P141" s="239"/>
      <c r="Q141" s="239"/>
      <c r="R141" s="239"/>
      <c r="S141" s="239"/>
      <c r="T141" s="240"/>
      <c r="U141" s="241"/>
      <c r="V141" s="425">
        <f t="shared" si="5"/>
        <v>0</v>
      </c>
      <c r="W141" s="17"/>
    </row>
    <row r="142" spans="1:23" ht="12" customHeight="1" x14ac:dyDescent="0.2">
      <c r="A142" s="6"/>
      <c r="B142" s="6"/>
      <c r="C142" s="13"/>
      <c r="D142" s="19">
        <f t="shared" si="1"/>
        <v>131</v>
      </c>
      <c r="E142" s="67" t="str">
        <f>IF(OR('Services - NHC'!E140="",'Services - NHC'!E140="[Enter service]"),"",'Services - NHC'!E140)</f>
        <v/>
      </c>
      <c r="F142" s="68" t="str">
        <f>IF(OR('Services - NHC'!F140="",'Services - NHC'!F140="[Select]"),"",'Services - NHC'!F140)</f>
        <v/>
      </c>
      <c r="G142" s="15"/>
      <c r="H142" s="239"/>
      <c r="I142" s="239"/>
      <c r="J142" s="239"/>
      <c r="K142" s="239"/>
      <c r="L142" s="239"/>
      <c r="M142" s="239"/>
      <c r="N142" s="239"/>
      <c r="O142" s="239"/>
      <c r="P142" s="239"/>
      <c r="Q142" s="239"/>
      <c r="R142" s="239"/>
      <c r="S142" s="239"/>
      <c r="T142" s="240"/>
      <c r="U142" s="241"/>
      <c r="V142" s="425">
        <f t="shared" si="5"/>
        <v>0</v>
      </c>
      <c r="W142" s="17"/>
    </row>
    <row r="143" spans="1:23" ht="12" customHeight="1" x14ac:dyDescent="0.2">
      <c r="A143" s="6"/>
      <c r="B143" s="6"/>
      <c r="C143" s="13"/>
      <c r="D143" s="19">
        <f t="shared" si="1"/>
        <v>132</v>
      </c>
      <c r="E143" s="67" t="str">
        <f>IF(OR('Services - NHC'!E141="",'Services - NHC'!E141="[Enter service]"),"",'Services - NHC'!E141)</f>
        <v/>
      </c>
      <c r="F143" s="68" t="str">
        <f>IF(OR('Services - NHC'!F141="",'Services - NHC'!F141="[Select]"),"",'Services - NHC'!F141)</f>
        <v/>
      </c>
      <c r="G143" s="15"/>
      <c r="H143" s="239"/>
      <c r="I143" s="239"/>
      <c r="J143" s="239"/>
      <c r="K143" s="239"/>
      <c r="L143" s="239"/>
      <c r="M143" s="239"/>
      <c r="N143" s="239"/>
      <c r="O143" s="239"/>
      <c r="P143" s="239"/>
      <c r="Q143" s="239"/>
      <c r="R143" s="239"/>
      <c r="S143" s="239"/>
      <c r="T143" s="240"/>
      <c r="U143" s="241"/>
      <c r="V143" s="425">
        <f t="shared" si="5"/>
        <v>0</v>
      </c>
      <c r="W143" s="17"/>
    </row>
    <row r="144" spans="1:23" ht="12" customHeight="1" x14ac:dyDescent="0.2">
      <c r="A144" s="6"/>
      <c r="B144" s="6"/>
      <c r="C144" s="13"/>
      <c r="D144" s="19">
        <f t="shared" si="1"/>
        <v>133</v>
      </c>
      <c r="E144" s="67" t="str">
        <f>IF(OR('Services - NHC'!E142="",'Services - NHC'!E142="[Enter service]"),"",'Services - NHC'!E142)</f>
        <v/>
      </c>
      <c r="F144" s="68" t="str">
        <f>IF(OR('Services - NHC'!F142="",'Services - NHC'!F142="[Select]"),"",'Services - NHC'!F142)</f>
        <v/>
      </c>
      <c r="G144" s="15"/>
      <c r="H144" s="239"/>
      <c r="I144" s="239"/>
      <c r="J144" s="239"/>
      <c r="K144" s="239"/>
      <c r="L144" s="239"/>
      <c r="M144" s="239"/>
      <c r="N144" s="239"/>
      <c r="O144" s="239"/>
      <c r="P144" s="239"/>
      <c r="Q144" s="239"/>
      <c r="R144" s="239"/>
      <c r="S144" s="239"/>
      <c r="T144" s="240"/>
      <c r="U144" s="241"/>
      <c r="V144" s="425">
        <f t="shared" si="5"/>
        <v>0</v>
      </c>
      <c r="W144" s="17"/>
    </row>
    <row r="145" spans="1:23" ht="12" customHeight="1" x14ac:dyDescent="0.2">
      <c r="A145" s="6"/>
      <c r="B145" s="6"/>
      <c r="C145" s="13"/>
      <c r="D145" s="19">
        <f t="shared" si="1"/>
        <v>134</v>
      </c>
      <c r="E145" s="67" t="str">
        <f>IF(OR('Services - NHC'!E143="",'Services - NHC'!E143="[Enter service]"),"",'Services - NHC'!E143)</f>
        <v/>
      </c>
      <c r="F145" s="68" t="str">
        <f>IF(OR('Services - NHC'!F143="",'Services - NHC'!F143="[Select]"),"",'Services - NHC'!F143)</f>
        <v/>
      </c>
      <c r="G145" s="15"/>
      <c r="H145" s="239"/>
      <c r="I145" s="239"/>
      <c r="J145" s="239"/>
      <c r="K145" s="239"/>
      <c r="L145" s="239"/>
      <c r="M145" s="239"/>
      <c r="N145" s="239"/>
      <c r="O145" s="239"/>
      <c r="P145" s="239"/>
      <c r="Q145" s="239"/>
      <c r="R145" s="239"/>
      <c r="S145" s="239"/>
      <c r="T145" s="240"/>
      <c r="U145" s="241"/>
      <c r="V145" s="425">
        <f t="shared" si="5"/>
        <v>0</v>
      </c>
      <c r="W145" s="17"/>
    </row>
    <row r="146" spans="1:23" ht="12" customHeight="1" x14ac:dyDescent="0.2">
      <c r="A146" s="6"/>
      <c r="B146" s="6"/>
      <c r="C146" s="13"/>
      <c r="D146" s="19">
        <f t="shared" si="1"/>
        <v>135</v>
      </c>
      <c r="E146" s="67" t="str">
        <f>IF(OR('Services - NHC'!E144="",'Services - NHC'!E144="[Enter service]"),"",'Services - NHC'!E144)</f>
        <v/>
      </c>
      <c r="F146" s="68" t="str">
        <f>IF(OR('Services - NHC'!F144="",'Services - NHC'!F144="[Select]"),"",'Services - NHC'!F144)</f>
        <v/>
      </c>
      <c r="G146" s="15"/>
      <c r="H146" s="239"/>
      <c r="I146" s="239"/>
      <c r="J146" s="239"/>
      <c r="K146" s="239"/>
      <c r="L146" s="239"/>
      <c r="M146" s="239"/>
      <c r="N146" s="239"/>
      <c r="O146" s="239"/>
      <c r="P146" s="239"/>
      <c r="Q146" s="239"/>
      <c r="R146" s="239"/>
      <c r="S146" s="239"/>
      <c r="T146" s="240"/>
      <c r="U146" s="241"/>
      <c r="V146" s="425">
        <f t="shared" si="5"/>
        <v>0</v>
      </c>
      <c r="W146" s="17"/>
    </row>
    <row r="147" spans="1:23" ht="12" customHeight="1" x14ac:dyDescent="0.2">
      <c r="A147" s="6"/>
      <c r="B147" s="6"/>
      <c r="C147" s="13"/>
      <c r="D147" s="19">
        <f t="shared" si="1"/>
        <v>136</v>
      </c>
      <c r="E147" s="67" t="str">
        <f>IF(OR('Services - NHC'!E145="",'Services - NHC'!E145="[Enter service]"),"",'Services - NHC'!E145)</f>
        <v/>
      </c>
      <c r="F147" s="68" t="str">
        <f>IF(OR('Services - NHC'!F145="",'Services - NHC'!F145="[Select]"),"",'Services - NHC'!F145)</f>
        <v/>
      </c>
      <c r="G147" s="15"/>
      <c r="H147" s="239"/>
      <c r="I147" s="239"/>
      <c r="J147" s="239"/>
      <c r="K147" s="239"/>
      <c r="L147" s="239"/>
      <c r="M147" s="239"/>
      <c r="N147" s="239"/>
      <c r="O147" s="239"/>
      <c r="P147" s="239"/>
      <c r="Q147" s="239"/>
      <c r="R147" s="239"/>
      <c r="S147" s="239"/>
      <c r="T147" s="240"/>
      <c r="U147" s="241"/>
      <c r="V147" s="425">
        <f t="shared" si="5"/>
        <v>0</v>
      </c>
      <c r="W147" s="17"/>
    </row>
    <row r="148" spans="1:23" ht="12" customHeight="1" x14ac:dyDescent="0.2">
      <c r="A148" s="6"/>
      <c r="B148" s="6"/>
      <c r="C148" s="13"/>
      <c r="D148" s="19">
        <f t="shared" si="1"/>
        <v>137</v>
      </c>
      <c r="E148" s="67" t="str">
        <f>IF(OR('Services - NHC'!E146="",'Services - NHC'!E146="[Enter service]"),"",'Services - NHC'!E146)</f>
        <v/>
      </c>
      <c r="F148" s="68" t="str">
        <f>IF(OR('Services - NHC'!F146="",'Services - NHC'!F146="[Select]"),"",'Services - NHC'!F146)</f>
        <v/>
      </c>
      <c r="G148" s="15"/>
      <c r="H148" s="239"/>
      <c r="I148" s="239"/>
      <c r="J148" s="239"/>
      <c r="K148" s="239"/>
      <c r="L148" s="239"/>
      <c r="M148" s="239"/>
      <c r="N148" s="239"/>
      <c r="O148" s="239"/>
      <c r="P148" s="239"/>
      <c r="Q148" s="239"/>
      <c r="R148" s="239"/>
      <c r="S148" s="239"/>
      <c r="T148" s="240"/>
      <c r="U148" s="241"/>
      <c r="V148" s="425">
        <f t="shared" si="5"/>
        <v>0</v>
      </c>
      <c r="W148" s="17"/>
    </row>
    <row r="149" spans="1:23" ht="12" customHeight="1" x14ac:dyDescent="0.2">
      <c r="A149" s="6"/>
      <c r="B149" s="6"/>
      <c r="C149" s="13"/>
      <c r="D149" s="19">
        <f t="shared" si="1"/>
        <v>138</v>
      </c>
      <c r="E149" s="67" t="str">
        <f>IF(OR('Services - NHC'!E147="",'Services - NHC'!E147="[Enter service]"),"",'Services - NHC'!E147)</f>
        <v/>
      </c>
      <c r="F149" s="68" t="str">
        <f>IF(OR('Services - NHC'!F147="",'Services - NHC'!F147="[Select]"),"",'Services - NHC'!F147)</f>
        <v/>
      </c>
      <c r="G149" s="15"/>
      <c r="H149" s="239"/>
      <c r="I149" s="239"/>
      <c r="J149" s="239"/>
      <c r="K149" s="239"/>
      <c r="L149" s="239"/>
      <c r="M149" s="239"/>
      <c r="N149" s="239"/>
      <c r="O149" s="239"/>
      <c r="P149" s="239"/>
      <c r="Q149" s="239"/>
      <c r="R149" s="239"/>
      <c r="S149" s="239"/>
      <c r="T149" s="240"/>
      <c r="U149" s="241"/>
      <c r="V149" s="425">
        <f t="shared" si="5"/>
        <v>0</v>
      </c>
      <c r="W149" s="17"/>
    </row>
    <row r="150" spans="1:23" ht="12" customHeight="1" x14ac:dyDescent="0.2">
      <c r="A150" s="6"/>
      <c r="B150" s="6"/>
      <c r="C150" s="13"/>
      <c r="D150" s="19">
        <f t="shared" si="1"/>
        <v>139</v>
      </c>
      <c r="E150" s="67" t="str">
        <f>IF(OR('Services - NHC'!E148="",'Services - NHC'!E148="[Enter service]"),"",'Services - NHC'!E148)</f>
        <v/>
      </c>
      <c r="F150" s="68" t="str">
        <f>IF(OR('Services - NHC'!F148="",'Services - NHC'!F148="[Select]"),"",'Services - NHC'!F148)</f>
        <v/>
      </c>
      <c r="G150" s="15"/>
      <c r="H150" s="239"/>
      <c r="I150" s="239"/>
      <c r="J150" s="239"/>
      <c r="K150" s="239"/>
      <c r="L150" s="239"/>
      <c r="M150" s="239"/>
      <c r="N150" s="239"/>
      <c r="O150" s="239"/>
      <c r="P150" s="239"/>
      <c r="Q150" s="239"/>
      <c r="R150" s="239"/>
      <c r="S150" s="239"/>
      <c r="T150" s="240"/>
      <c r="U150" s="241"/>
      <c r="V150" s="425">
        <f t="shared" si="5"/>
        <v>0</v>
      </c>
      <c r="W150" s="17"/>
    </row>
    <row r="151" spans="1:23" ht="12" customHeight="1" x14ac:dyDescent="0.2">
      <c r="A151" s="6"/>
      <c r="B151" s="6"/>
      <c r="C151" s="13"/>
      <c r="D151" s="19">
        <f t="shared" si="1"/>
        <v>140</v>
      </c>
      <c r="E151" s="67" t="str">
        <f>IF(OR('Services - NHC'!E149="",'Services - NHC'!E149="[Enter service]"),"",'Services - NHC'!E149)</f>
        <v/>
      </c>
      <c r="F151" s="68" t="str">
        <f>IF(OR('Services - NHC'!F149="",'Services - NHC'!F149="[Select]"),"",'Services - NHC'!F149)</f>
        <v/>
      </c>
      <c r="G151" s="15"/>
      <c r="H151" s="239"/>
      <c r="I151" s="239"/>
      <c r="J151" s="239"/>
      <c r="K151" s="239"/>
      <c r="L151" s="239"/>
      <c r="M151" s="239"/>
      <c r="N151" s="239"/>
      <c r="O151" s="239"/>
      <c r="P151" s="239"/>
      <c r="Q151" s="239"/>
      <c r="R151" s="239"/>
      <c r="S151" s="239"/>
      <c r="T151" s="240"/>
      <c r="U151" s="241"/>
      <c r="V151" s="425">
        <f t="shared" si="5"/>
        <v>0</v>
      </c>
      <c r="W151" s="17"/>
    </row>
    <row r="152" spans="1:23" ht="12" customHeight="1" thickBot="1" x14ac:dyDescent="0.25">
      <c r="A152" s="6"/>
      <c r="B152" s="6"/>
      <c r="C152" s="13"/>
      <c r="D152" s="14"/>
      <c r="E152" s="75" t="s">
        <v>88</v>
      </c>
      <c r="F152" s="76"/>
      <c r="G152" s="15"/>
      <c r="H152" s="242"/>
      <c r="I152" s="242"/>
      <c r="J152" s="242"/>
      <c r="K152" s="242"/>
      <c r="L152" s="242"/>
      <c r="M152" s="242"/>
      <c r="N152" s="242"/>
      <c r="O152" s="242"/>
      <c r="P152" s="242"/>
      <c r="Q152" s="242"/>
      <c r="R152" s="242"/>
      <c r="S152" s="242"/>
      <c r="T152" s="243"/>
      <c r="U152" s="244"/>
      <c r="V152" s="425">
        <f t="shared" si="5"/>
        <v>0</v>
      </c>
      <c r="W152" s="17"/>
    </row>
    <row r="153" spans="1:23" s="28" customFormat="1" ht="12" customHeight="1" thickTop="1" x14ac:dyDescent="0.2">
      <c r="A153" s="23"/>
      <c r="B153" s="23"/>
      <c r="C153" s="24"/>
      <c r="D153" s="14"/>
      <c r="E153" s="50" t="s">
        <v>87</v>
      </c>
      <c r="F153" s="51"/>
      <c r="G153" s="15"/>
      <c r="H153" s="426">
        <f t="shared" ref="H153:T153" si="6">+SUM(H12:H152)</f>
        <v>108000</v>
      </c>
      <c r="I153" s="426">
        <f t="shared" si="6"/>
        <v>1971730.0621519531</v>
      </c>
      <c r="J153" s="426">
        <f t="shared" si="6"/>
        <v>775900</v>
      </c>
      <c r="K153" s="426">
        <f t="shared" si="6"/>
        <v>3000</v>
      </c>
      <c r="L153" s="426">
        <f t="shared" si="6"/>
        <v>231300</v>
      </c>
      <c r="M153" s="426">
        <f t="shared" si="6"/>
        <v>2616451</v>
      </c>
      <c r="N153" s="426">
        <f t="shared" si="6"/>
        <v>12500</v>
      </c>
      <c r="O153" s="426">
        <f t="shared" si="6"/>
        <v>0</v>
      </c>
      <c r="P153" s="426">
        <f t="shared" si="6"/>
        <v>0</v>
      </c>
      <c r="Q153" s="426">
        <f t="shared" si="6"/>
        <v>234200</v>
      </c>
      <c r="R153" s="426">
        <f t="shared" si="6"/>
        <v>0</v>
      </c>
      <c r="S153" s="426">
        <f t="shared" si="6"/>
        <v>0</v>
      </c>
      <c r="T153" s="426">
        <f t="shared" si="6"/>
        <v>0</v>
      </c>
      <c r="U153" s="428"/>
      <c r="V153" s="427">
        <f t="shared" si="5"/>
        <v>5953081.0621519536</v>
      </c>
      <c r="W153" s="27"/>
    </row>
    <row r="154" spans="1:23" ht="12.6" customHeight="1" thickBot="1" x14ac:dyDescent="0.25">
      <c r="A154" s="6"/>
      <c r="B154" s="6"/>
      <c r="C154" s="32"/>
      <c r="D154" s="33"/>
      <c r="E154" s="34"/>
      <c r="F154" s="35"/>
      <c r="G154" s="35"/>
      <c r="H154" s="35"/>
      <c r="I154" s="120"/>
      <c r="J154" s="120"/>
      <c r="K154" s="120"/>
      <c r="L154" s="120"/>
      <c r="M154" s="33"/>
      <c r="N154" s="36"/>
      <c r="O154" s="397"/>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95"/>
      <c r="D158" s="296"/>
      <c r="E158" s="296"/>
      <c r="F158" s="297"/>
      <c r="G158" s="297"/>
      <c r="H158" s="298"/>
      <c r="I158" s="3"/>
      <c r="J158" s="3"/>
      <c r="K158" s="3"/>
      <c r="L158" s="3"/>
    </row>
    <row r="159" spans="1:23" x14ac:dyDescent="0.2">
      <c r="C159" s="299"/>
      <c r="D159" s="16"/>
      <c r="E159" s="300" t="s">
        <v>212</v>
      </c>
      <c r="F159" s="15"/>
      <c r="G159" s="15"/>
      <c r="H159" s="31"/>
    </row>
    <row r="160" spans="1:23" x14ac:dyDescent="0.2">
      <c r="C160" s="299"/>
      <c r="D160" s="16"/>
      <c r="E160" s="3" t="s">
        <v>216</v>
      </c>
      <c r="F160" s="15" t="s">
        <v>209</v>
      </c>
      <c r="G160" s="301"/>
      <c r="H160" s="17"/>
    </row>
    <row r="161" spans="3:8" x14ac:dyDescent="0.2">
      <c r="C161" s="299"/>
      <c r="D161" s="16"/>
      <c r="E161" s="302" t="s">
        <v>211</v>
      </c>
      <c r="F161" s="303"/>
      <c r="G161" s="304"/>
      <c r="H161" s="17"/>
    </row>
    <row r="162" spans="3:8" x14ac:dyDescent="0.2">
      <c r="C162" s="299"/>
      <c r="D162" s="16"/>
      <c r="E162" s="302" t="s">
        <v>211</v>
      </c>
      <c r="F162" s="303"/>
      <c r="G162" s="304"/>
      <c r="H162" s="17"/>
    </row>
    <row r="163" spans="3:8" x14ac:dyDescent="0.2">
      <c r="C163" s="299"/>
      <c r="D163" s="16"/>
      <c r="E163" s="302" t="s">
        <v>211</v>
      </c>
      <c r="F163" s="303"/>
      <c r="G163" s="304"/>
      <c r="H163" s="17"/>
    </row>
    <row r="164" spans="3:8" x14ac:dyDescent="0.2">
      <c r="C164" s="299"/>
      <c r="D164" s="16"/>
      <c r="E164" s="302" t="s">
        <v>211</v>
      </c>
      <c r="F164" s="303"/>
      <c r="G164" s="304"/>
      <c r="H164" s="17"/>
    </row>
    <row r="165" spans="3:8" x14ac:dyDescent="0.2">
      <c r="C165" s="299"/>
      <c r="D165" s="16"/>
      <c r="E165" s="302" t="s">
        <v>211</v>
      </c>
      <c r="F165" s="303"/>
      <c r="G165" s="304"/>
      <c r="H165" s="17"/>
    </row>
    <row r="166" spans="3:8" x14ac:dyDescent="0.2">
      <c r="C166" s="299"/>
      <c r="D166" s="16"/>
      <c r="E166" s="302" t="s">
        <v>211</v>
      </c>
      <c r="F166" s="303"/>
      <c r="G166" s="304"/>
      <c r="H166" s="17"/>
    </row>
    <row r="167" spans="3:8" x14ac:dyDescent="0.2">
      <c r="C167" s="299"/>
      <c r="D167" s="16"/>
      <c r="E167" s="302" t="s">
        <v>211</v>
      </c>
      <c r="F167" s="303"/>
      <c r="G167" s="304"/>
      <c r="H167" s="17"/>
    </row>
    <row r="168" spans="3:8" x14ac:dyDescent="0.2">
      <c r="C168" s="299"/>
      <c r="D168" s="16"/>
      <c r="E168" s="302" t="s">
        <v>211</v>
      </c>
      <c r="F168" s="303"/>
      <c r="G168" s="304"/>
      <c r="H168" s="17"/>
    </row>
    <row r="169" spans="3:8" x14ac:dyDescent="0.2">
      <c r="C169" s="299"/>
      <c r="D169" s="16"/>
      <c r="E169" s="302" t="s">
        <v>211</v>
      </c>
      <c r="F169" s="303"/>
      <c r="G169" s="304"/>
      <c r="H169" s="17"/>
    </row>
    <row r="170" spans="3:8" x14ac:dyDescent="0.2">
      <c r="C170" s="299"/>
      <c r="D170" s="16"/>
      <c r="E170" s="302" t="s">
        <v>211</v>
      </c>
      <c r="F170" s="303"/>
      <c r="G170" s="304"/>
      <c r="H170" s="17"/>
    </row>
    <row r="171" spans="3:8" x14ac:dyDescent="0.2">
      <c r="C171" s="299"/>
      <c r="D171" s="16"/>
      <c r="E171" s="302" t="s">
        <v>211</v>
      </c>
      <c r="F171" s="303"/>
      <c r="G171" s="304"/>
      <c r="H171" s="17"/>
    </row>
    <row r="172" spans="3:8" x14ac:dyDescent="0.2">
      <c r="C172" s="299"/>
      <c r="D172" s="16"/>
      <c r="E172" s="302" t="s">
        <v>211</v>
      </c>
      <c r="F172" s="303"/>
      <c r="G172" s="304"/>
      <c r="H172" s="17"/>
    </row>
    <row r="173" spans="3:8" x14ac:dyDescent="0.2">
      <c r="C173" s="299"/>
      <c r="D173" s="16"/>
      <c r="E173" s="302" t="s">
        <v>211</v>
      </c>
      <c r="F173" s="303"/>
      <c r="G173" s="304"/>
      <c r="H173" s="17"/>
    </row>
    <row r="174" spans="3:8" x14ac:dyDescent="0.2">
      <c r="C174" s="299"/>
      <c r="D174" s="16"/>
      <c r="E174" s="305" t="s">
        <v>87</v>
      </c>
      <c r="F174" s="306">
        <f>SUM(F161:F173)</f>
        <v>0</v>
      </c>
      <c r="G174" s="306"/>
      <c r="H174" s="17"/>
    </row>
    <row r="175" spans="3:8" x14ac:dyDescent="0.2">
      <c r="C175" s="299"/>
      <c r="D175" s="16"/>
      <c r="E175" s="305"/>
      <c r="F175" s="307"/>
      <c r="G175" s="307"/>
      <c r="H175" s="17"/>
    </row>
    <row r="176" spans="3:8" x14ac:dyDescent="0.2">
      <c r="C176" s="299"/>
      <c r="D176" s="16"/>
      <c r="E176" s="305" t="s">
        <v>213</v>
      </c>
      <c r="F176" s="308">
        <f>V152</f>
        <v>0</v>
      </c>
      <c r="G176" s="308"/>
      <c r="H176" s="17"/>
    </row>
    <row r="177" spans="3:8" x14ac:dyDescent="0.2">
      <c r="C177" s="299"/>
      <c r="D177" s="16"/>
      <c r="E177" s="30" t="s">
        <v>189</v>
      </c>
      <c r="F177" s="316">
        <f>F174-F176</f>
        <v>0</v>
      </c>
      <c r="G177" s="308"/>
      <c r="H177" s="17"/>
    </row>
    <row r="178" spans="3:8" ht="14.25" x14ac:dyDescent="0.2">
      <c r="C178" s="299"/>
      <c r="D178" s="16"/>
      <c r="E178" s="310" t="s">
        <v>210</v>
      </c>
      <c r="F178" s="321" t="str">
        <f>IF(F177="","",IF(F177=0,"OK","ISSUE"))</f>
        <v>OK</v>
      </c>
      <c r="G178" s="309"/>
      <c r="H178" s="17"/>
    </row>
    <row r="179" spans="3:8" x14ac:dyDescent="0.2">
      <c r="C179" s="299"/>
      <c r="D179" s="16"/>
      <c r="G179" s="311"/>
      <c r="H179" s="17"/>
    </row>
    <row r="180" spans="3:8" ht="13.5" thickBot="1" x14ac:dyDescent="0.25">
      <c r="C180" s="312"/>
      <c r="D180" s="313"/>
      <c r="E180" s="313"/>
      <c r="F180" s="314"/>
      <c r="G180" s="314"/>
      <c r="H180" s="315"/>
    </row>
    <row r="222" ht="13.5" customHeight="1" x14ac:dyDescent="0.2"/>
  </sheetData>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 - for ESC purposes'!Print_Area</vt:lpstr>
      <vt:lpstr>'SRP and LTFP'!Print_Titles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cp:lastModifiedBy>
  <cp:lastPrinted>2016-10-17T00:35:54Z</cp:lastPrinted>
  <dcterms:created xsi:type="dcterms:W3CDTF">2015-06-02T11:43:08Z</dcterms:created>
  <dcterms:modified xsi:type="dcterms:W3CDTF">2017-07-19T03:13:32Z</dcterms:modified>
</cp:coreProperties>
</file>